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drawings/drawing2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omments9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uuji\Dropbox\Kaissa Consumer\Mosaic\buckets\AGENTICS\QLYS\source\"/>
    </mc:Choice>
  </mc:AlternateContent>
  <xr:revisionPtr revIDLastSave="0" documentId="8_{43849913-0132-421B-AB52-62C4AC4F8630}" xr6:coauthVersionLast="47" xr6:coauthVersionMax="47" xr10:uidLastSave="{00000000-0000-0000-0000-000000000000}"/>
  <bookViews>
    <workbookView xWindow="2400" yWindow="-16200" windowWidth="19410" windowHeight="15585" firstSheet="2" activeTab="9" xr2:uid="{3180EE23-5146-4D5C-B24C-C125758525B6}"/>
  </bookViews>
  <sheets>
    <sheet name="__FDSCACHE__" sheetId="17" state="veryHidden" r:id="rId1"/>
    <sheet name="BM Upload" sheetId="6" r:id="rId2"/>
    <sheet name="Variance" sheetId="7" r:id="rId3"/>
    <sheet name="BS" sheetId="8" r:id="rId4"/>
    <sheet name="CF" sheetId="12" r:id="rId5"/>
    <sheet name="IS" sheetId="5" r:id="rId6"/>
    <sheet name="Billings &amp; Recs" sheetId="16" r:id="rId7"/>
    <sheet name="Geography" sheetId="14" r:id="rId8"/>
    <sheet name="Channel" sheetId="19" r:id="rId9"/>
    <sheet name="Retention" sheetId="24" r:id="rId10"/>
    <sheet name="Preview" sheetId="25" r:id="rId11"/>
    <sheet name="Charts" sheetId="23" state="hidden" r:id="rId12"/>
    <sheet name=" OLD" sheetId="21" state="hidden" r:id="rId13"/>
    <sheet name="Filings Exhibits" sheetId="22" state="hidden" r:id="rId14"/>
  </sheets>
  <externalReferences>
    <externalReference r:id="rId15"/>
    <externalReference r:id="rId16"/>
    <externalReference r:id="rId17"/>
    <externalReference r:id="rId18"/>
  </externalReferences>
  <definedNames>
    <definedName name="___eps95" localSheetId="12">#REF!</definedName>
    <definedName name="___eps95" localSheetId="1">#REF!</definedName>
    <definedName name="___eps95" localSheetId="3">#REF!</definedName>
    <definedName name="___eps95" localSheetId="4">#REF!</definedName>
    <definedName name="___eps95" localSheetId="8">#REF!</definedName>
    <definedName name="___eps95" localSheetId="2">#REF!</definedName>
    <definedName name="___eps95">#REF!</definedName>
    <definedName name="___eps96" localSheetId="12">#REF!</definedName>
    <definedName name="___eps96" localSheetId="1">#REF!</definedName>
    <definedName name="___eps96" localSheetId="3">#REF!</definedName>
    <definedName name="___eps96" localSheetId="4">#REF!</definedName>
    <definedName name="___eps96" localSheetId="8">#REF!</definedName>
    <definedName name="___eps96" localSheetId="2">#REF!</definedName>
    <definedName name="___eps96">#REF!</definedName>
    <definedName name="___eps97" localSheetId="12">#REF!</definedName>
    <definedName name="___eps97" localSheetId="1">#REF!</definedName>
    <definedName name="___eps97" localSheetId="3">#REF!</definedName>
    <definedName name="___eps97" localSheetId="4">#REF!</definedName>
    <definedName name="___eps97" localSheetId="8">#REF!</definedName>
    <definedName name="___eps97" localSheetId="2">#REF!</definedName>
    <definedName name="___eps97">#REF!</definedName>
    <definedName name="___eps98" localSheetId="12">#REF!</definedName>
    <definedName name="___eps98" localSheetId="4">#REF!</definedName>
    <definedName name="___eps98" localSheetId="8">#REF!</definedName>
    <definedName name="___eps98">#REF!</definedName>
    <definedName name="___fcc97" localSheetId="12">#REF!</definedName>
    <definedName name="___fcc97" localSheetId="4">#REF!</definedName>
    <definedName name="___fcc97" localSheetId="8">#REF!</definedName>
    <definedName name="___fcc97">#REF!</definedName>
    <definedName name="___grm98" localSheetId="12">#REF!</definedName>
    <definedName name="___grm98" localSheetId="4">#REF!</definedName>
    <definedName name="___grm98" localSheetId="8">#REF!</definedName>
    <definedName name="___grm98">#REF!</definedName>
    <definedName name="___grm99" localSheetId="12">#REF!</definedName>
    <definedName name="___grm99" localSheetId="4">#REF!</definedName>
    <definedName name="___grm99" localSheetId="8">#REF!</definedName>
    <definedName name="___grm99">#REF!</definedName>
    <definedName name="___net96" localSheetId="12">#REF!</definedName>
    <definedName name="___net96" localSheetId="4">#REF!</definedName>
    <definedName name="___net96" localSheetId="8">#REF!</definedName>
    <definedName name="___net96">#REF!</definedName>
    <definedName name="___net97" localSheetId="12">#REF!</definedName>
    <definedName name="___net97" localSheetId="4">#REF!</definedName>
    <definedName name="___net97" localSheetId="8">#REF!</definedName>
    <definedName name="___net97">#REF!</definedName>
    <definedName name="___net98" localSheetId="12">#REF!</definedName>
    <definedName name="___net98" localSheetId="4">#REF!</definedName>
    <definedName name="___net98" localSheetId="8">#REF!</definedName>
    <definedName name="___net98">#REF!</definedName>
    <definedName name="___net99" localSheetId="12">#REF!</definedName>
    <definedName name="___net99" localSheetId="4">#REF!</definedName>
    <definedName name="___net99" localSheetId="8">#REF!</definedName>
    <definedName name="___net99">#REF!</definedName>
    <definedName name="___opm98" localSheetId="12">#REF!</definedName>
    <definedName name="___opm98" localSheetId="4">#REF!</definedName>
    <definedName name="___opm98" localSheetId="8">#REF!</definedName>
    <definedName name="___opm98">#REF!</definedName>
    <definedName name="___opm99" localSheetId="12">#REF!</definedName>
    <definedName name="___opm99" localSheetId="4">#REF!</definedName>
    <definedName name="___opm99" localSheetId="8">#REF!</definedName>
    <definedName name="___opm99">#REF!</definedName>
    <definedName name="___tax96" localSheetId="12">#REF!</definedName>
    <definedName name="___tax96" localSheetId="4">#REF!</definedName>
    <definedName name="___tax96" localSheetId="8">#REF!</definedName>
    <definedName name="___tax96">#REF!</definedName>
    <definedName name="___tax97" localSheetId="12">#REF!</definedName>
    <definedName name="___tax97" localSheetId="4">#REF!</definedName>
    <definedName name="___tax97" localSheetId="8">#REF!</definedName>
    <definedName name="___tax97">#REF!</definedName>
    <definedName name="___tax98" localSheetId="12">#REF!</definedName>
    <definedName name="___tax98" localSheetId="4">#REF!</definedName>
    <definedName name="___tax98" localSheetId="8">#REF!</definedName>
    <definedName name="___tax98">#REF!</definedName>
    <definedName name="___tax99" localSheetId="12">#REF!</definedName>
    <definedName name="___tax99" localSheetId="4">#REF!</definedName>
    <definedName name="___tax99" localSheetId="8">#REF!</definedName>
    <definedName name="___tax99">#REF!</definedName>
    <definedName name="__eps01" localSheetId="12">#REF!</definedName>
    <definedName name="__eps01" localSheetId="4">#REF!</definedName>
    <definedName name="__eps01" localSheetId="8">#REF!</definedName>
    <definedName name="__eps01">#REF!</definedName>
    <definedName name="__eps95" localSheetId="12">#REF!</definedName>
    <definedName name="__eps95" localSheetId="4">#REF!</definedName>
    <definedName name="__eps95" localSheetId="8">#REF!</definedName>
    <definedName name="__eps95">#REF!</definedName>
    <definedName name="__eps96" localSheetId="12">#REF!</definedName>
    <definedName name="__eps96" localSheetId="4">#REF!</definedName>
    <definedName name="__eps96" localSheetId="8">#REF!</definedName>
    <definedName name="__eps96">#REF!</definedName>
    <definedName name="__eps97" localSheetId="12">#REF!</definedName>
    <definedName name="__eps97" localSheetId="4">#REF!</definedName>
    <definedName name="__eps97" localSheetId="8">#REF!</definedName>
    <definedName name="__eps97">#REF!</definedName>
    <definedName name="__eps98" localSheetId="12">#REF!</definedName>
    <definedName name="__eps98" localSheetId="4">#REF!</definedName>
    <definedName name="__eps98" localSheetId="8">#REF!</definedName>
    <definedName name="__eps98">#REF!</definedName>
    <definedName name="__eps99" localSheetId="12">#REF!</definedName>
    <definedName name="__eps99" localSheetId="4">#REF!</definedName>
    <definedName name="__eps99" localSheetId="8">#REF!</definedName>
    <definedName name="__eps99">#REF!</definedName>
    <definedName name="__fcc97" localSheetId="12">#REF!</definedName>
    <definedName name="__fcc97" localSheetId="4">#REF!</definedName>
    <definedName name="__fcc97" localSheetId="8">#REF!</definedName>
    <definedName name="__fcc97">#REF!</definedName>
    <definedName name="__fcc98" localSheetId="12">#REF!</definedName>
    <definedName name="__fcc98" localSheetId="4">#REF!</definedName>
    <definedName name="__fcc98" localSheetId="8">#REF!</definedName>
    <definedName name="__fcc98">#REF!</definedName>
    <definedName name="__fcc99" localSheetId="12">#REF!</definedName>
    <definedName name="__fcc99" localSheetId="4">#REF!</definedName>
    <definedName name="__fcc99" localSheetId="8">#REF!</definedName>
    <definedName name="__fcc99">#REF!</definedName>
    <definedName name="__grm97" localSheetId="12">#REF!</definedName>
    <definedName name="__grm97" localSheetId="4">#REF!</definedName>
    <definedName name="__grm97" localSheetId="8">#REF!</definedName>
    <definedName name="__grm97">#REF!</definedName>
    <definedName name="__grm98" localSheetId="12">#REF!</definedName>
    <definedName name="__grm98" localSheetId="4">#REF!</definedName>
    <definedName name="__grm98" localSheetId="8">#REF!</definedName>
    <definedName name="__grm98">#REF!</definedName>
    <definedName name="__grm99" localSheetId="12">#REF!</definedName>
    <definedName name="__grm99" localSheetId="4">#REF!</definedName>
    <definedName name="__grm99" localSheetId="8">#REF!</definedName>
    <definedName name="__grm99">#REF!</definedName>
    <definedName name="__net96" localSheetId="12">#REF!</definedName>
    <definedName name="__net96" localSheetId="4">#REF!</definedName>
    <definedName name="__net96" localSheetId="8">#REF!</definedName>
    <definedName name="__net96">#REF!</definedName>
    <definedName name="__net97" localSheetId="12">#REF!</definedName>
    <definedName name="__net97" localSheetId="4">#REF!</definedName>
    <definedName name="__net97" localSheetId="8">#REF!</definedName>
    <definedName name="__net97">#REF!</definedName>
    <definedName name="__net98" localSheetId="12">#REF!</definedName>
    <definedName name="__net98" localSheetId="4">#REF!</definedName>
    <definedName name="__net98" localSheetId="8">#REF!</definedName>
    <definedName name="__net98">#REF!</definedName>
    <definedName name="__net99" localSheetId="12">#REF!</definedName>
    <definedName name="__net99" localSheetId="4">#REF!</definedName>
    <definedName name="__net99" localSheetId="8">#REF!</definedName>
    <definedName name="__net99">#REF!</definedName>
    <definedName name="__opm97" localSheetId="12">#REF!</definedName>
    <definedName name="__opm97" localSheetId="4">#REF!</definedName>
    <definedName name="__opm97" localSheetId="8">#REF!</definedName>
    <definedName name="__opm97">#REF!</definedName>
    <definedName name="__opm98" localSheetId="12">#REF!</definedName>
    <definedName name="__opm98" localSheetId="4">#REF!</definedName>
    <definedName name="__opm98" localSheetId="8">#REF!</definedName>
    <definedName name="__opm98">#REF!</definedName>
    <definedName name="__opm99" localSheetId="12">#REF!</definedName>
    <definedName name="__opm99" localSheetId="4">#REF!</definedName>
    <definedName name="__opm99" localSheetId="8">#REF!</definedName>
    <definedName name="__opm99">#REF!</definedName>
    <definedName name="__rev97" localSheetId="12">#REF!</definedName>
    <definedName name="__rev97" localSheetId="4">#REF!</definedName>
    <definedName name="__rev97" localSheetId="8">#REF!</definedName>
    <definedName name="__rev97">#REF!</definedName>
    <definedName name="__rev98" localSheetId="12">#REF!</definedName>
    <definedName name="__rev98" localSheetId="4">#REF!</definedName>
    <definedName name="__rev98" localSheetId="8">#REF!</definedName>
    <definedName name="__rev98">#REF!</definedName>
    <definedName name="__rev99" localSheetId="12">#REF!</definedName>
    <definedName name="__rev99" localSheetId="4">#REF!</definedName>
    <definedName name="__rev99" localSheetId="8">#REF!</definedName>
    <definedName name="__rev99">#REF!</definedName>
    <definedName name="__tax96" localSheetId="12">#REF!</definedName>
    <definedName name="__tax96" localSheetId="4">#REF!</definedName>
    <definedName name="__tax96" localSheetId="8">#REF!</definedName>
    <definedName name="__tax96">#REF!</definedName>
    <definedName name="__tax97" localSheetId="12">#REF!</definedName>
    <definedName name="__tax97" localSheetId="4">#REF!</definedName>
    <definedName name="__tax97" localSheetId="8">#REF!</definedName>
    <definedName name="__tax97">#REF!</definedName>
    <definedName name="__tax98" localSheetId="12">#REF!</definedName>
    <definedName name="__tax98" localSheetId="4">#REF!</definedName>
    <definedName name="__tax98" localSheetId="8">#REF!</definedName>
    <definedName name="__tax98">#REF!</definedName>
    <definedName name="__tax99" localSheetId="12">#REF!</definedName>
    <definedName name="__tax99" localSheetId="4">#REF!</definedName>
    <definedName name="__tax99" localSheetId="8">#REF!</definedName>
    <definedName name="__tax99">#REF!</definedName>
    <definedName name="_bdm.008e3fbaed40474abe4a99c33cf989f6.edm" hidden="1">BS!$1:$1048576</definedName>
    <definedName name="_bdm.4ea1f086a1bb4763bb5d62bbbf012149.edm" localSheetId="5" hidden="1">IS!$B$131:$AV$184</definedName>
    <definedName name="_bdm.c07fcf2d2a594d738f8bc2f9ef370727.edm" hidden="1">IS!$1:$1048576</definedName>
    <definedName name="_bdm.d6306669344d4b83b9025ba8d32c7587.edm" localSheetId="3" hidden="1">BS!$AT$125</definedName>
    <definedName name="_bdm.ffa79079358143f1bc21de0df951b722.edm" localSheetId="5" hidden="1">IS!$B$2:$AV$73</definedName>
    <definedName name="_eps01" localSheetId="12">#REF!</definedName>
    <definedName name="_eps01" localSheetId="4">#REF!</definedName>
    <definedName name="_eps01" localSheetId="8">#REF!</definedName>
    <definedName name="_eps01">#REF!</definedName>
    <definedName name="_eps95" localSheetId="12">#REF!</definedName>
    <definedName name="_eps95" localSheetId="1">[1]IS!$AJ$47</definedName>
    <definedName name="_eps95" localSheetId="4">#REF!</definedName>
    <definedName name="_eps95" localSheetId="8">#REF!</definedName>
    <definedName name="_eps95">#REF!</definedName>
    <definedName name="_eps96" localSheetId="12">#REF!</definedName>
    <definedName name="_eps96" localSheetId="1">[1]IS!$AO$47</definedName>
    <definedName name="_eps96" localSheetId="4">#REF!</definedName>
    <definedName name="_eps96" localSheetId="8">#REF!</definedName>
    <definedName name="_eps96">#REF!</definedName>
    <definedName name="_eps97" localSheetId="12">#REF!</definedName>
    <definedName name="_eps97" localSheetId="1">[1]IS!$AT$47</definedName>
    <definedName name="_eps97" localSheetId="4">#REF!</definedName>
    <definedName name="_eps97" localSheetId="8">#REF!</definedName>
    <definedName name="_eps97">#REF!</definedName>
    <definedName name="_eps98" localSheetId="12">#REF!</definedName>
    <definedName name="_eps98" localSheetId="1">[1]IS!$AY$47</definedName>
    <definedName name="_eps98" localSheetId="4">#REF!</definedName>
    <definedName name="_eps98" localSheetId="8">#REF!</definedName>
    <definedName name="_eps98">#REF!</definedName>
    <definedName name="_eps99" localSheetId="12">#REF!</definedName>
    <definedName name="_eps99" localSheetId="1">[1]IS!$BD$47</definedName>
    <definedName name="_eps99" localSheetId="4">#REF!</definedName>
    <definedName name="_eps99" localSheetId="8">#REF!</definedName>
    <definedName name="_eps99">#REF!</definedName>
    <definedName name="_fcc97" localSheetId="12">#REF!</definedName>
    <definedName name="_fcc97" localSheetId="1">#REF!</definedName>
    <definedName name="_fcc97" localSheetId="4">#REF!</definedName>
    <definedName name="_fcc97" localSheetId="8">#REF!</definedName>
    <definedName name="_fcc97">#REF!</definedName>
    <definedName name="_fcc98" localSheetId="12">#REF!</definedName>
    <definedName name="_fcc98" localSheetId="4">#REF!</definedName>
    <definedName name="_fcc98" localSheetId="8">#REF!</definedName>
    <definedName name="_fcc98">#REF!</definedName>
    <definedName name="_fcc99" localSheetId="12">#REF!</definedName>
    <definedName name="_fcc99" localSheetId="4">#REF!</definedName>
    <definedName name="_fcc99" localSheetId="8">#REF!</definedName>
    <definedName name="_fcc99">#REF!</definedName>
    <definedName name="_grm97" localSheetId="12">#REF!</definedName>
    <definedName name="_grm97" localSheetId="4">#REF!</definedName>
    <definedName name="_grm97" localSheetId="8">#REF!</definedName>
    <definedName name="_grm97">#REF!</definedName>
    <definedName name="_grm98" localSheetId="12">#REF!</definedName>
    <definedName name="_grm98" localSheetId="1">[1]IS!$AY$12</definedName>
    <definedName name="_grm98" localSheetId="4">#REF!</definedName>
    <definedName name="_grm98" localSheetId="8">#REF!</definedName>
    <definedName name="_grm98">#REF!</definedName>
    <definedName name="_grm99" localSheetId="12">#REF!</definedName>
    <definedName name="_grm99" localSheetId="1">[1]IS!$BD$12</definedName>
    <definedName name="_grm99" localSheetId="4">#REF!</definedName>
    <definedName name="_grm99" localSheetId="8">#REF!</definedName>
    <definedName name="_grm99">#REF!</definedName>
    <definedName name="_Key1" localSheetId="12" hidden="1">#REF!</definedName>
    <definedName name="_Key1" localSheetId="1" hidden="1">#REF!</definedName>
    <definedName name="_Key1" localSheetId="4" hidden="1">#REF!</definedName>
    <definedName name="_Key1" localSheetId="8" hidden="1">#REF!</definedName>
    <definedName name="_Key1" hidden="1">#REF!</definedName>
    <definedName name="_net96" localSheetId="12">#REF!</definedName>
    <definedName name="_net96" localSheetId="1">[1]IS!$AO$39</definedName>
    <definedName name="_net96" localSheetId="4">#REF!</definedName>
    <definedName name="_net96" localSheetId="8">#REF!</definedName>
    <definedName name="_net96">#REF!</definedName>
    <definedName name="_net97" localSheetId="12">#REF!</definedName>
    <definedName name="_net97" localSheetId="1">[1]IS!$AT$39</definedName>
    <definedName name="_net97" localSheetId="4">#REF!</definedName>
    <definedName name="_net97" localSheetId="8">#REF!</definedName>
    <definedName name="_net97">#REF!</definedName>
    <definedName name="_net98" localSheetId="12">#REF!</definedName>
    <definedName name="_net98" localSheetId="1">[1]IS!$AY$39</definedName>
    <definedName name="_net98" localSheetId="4">#REF!</definedName>
    <definedName name="_net98" localSheetId="8">#REF!</definedName>
    <definedName name="_net98">#REF!</definedName>
    <definedName name="_net99" localSheetId="12">#REF!</definedName>
    <definedName name="_net99" localSheetId="1">[1]IS!$BD$39</definedName>
    <definedName name="_net99" localSheetId="4">#REF!</definedName>
    <definedName name="_net99" localSheetId="8">#REF!</definedName>
    <definedName name="_net99">#REF!</definedName>
    <definedName name="_opm97" localSheetId="12">#REF!</definedName>
    <definedName name="_opm97" localSheetId="1">#REF!</definedName>
    <definedName name="_opm97" localSheetId="4">#REF!</definedName>
    <definedName name="_opm97" localSheetId="8">#REF!</definedName>
    <definedName name="_opm97">#REF!</definedName>
    <definedName name="_opm98" localSheetId="12">#REF!</definedName>
    <definedName name="_opm98" localSheetId="1">[1]IS!$AY$21</definedName>
    <definedName name="_opm98" localSheetId="4">#REF!</definedName>
    <definedName name="_opm98" localSheetId="8">#REF!</definedName>
    <definedName name="_opm98">#REF!</definedName>
    <definedName name="_opm99" localSheetId="12">#REF!</definedName>
    <definedName name="_opm99" localSheetId="1">[1]IS!$BD$21</definedName>
    <definedName name="_opm99" localSheetId="4">#REF!</definedName>
    <definedName name="_opm99" localSheetId="8">#REF!</definedName>
    <definedName name="_opm99">#REF!</definedName>
    <definedName name="_Order1" hidden="1">0</definedName>
    <definedName name="_rev97" localSheetId="12">#REF!</definedName>
    <definedName name="_rev97" localSheetId="1">#REF!</definedName>
    <definedName name="_rev97" localSheetId="4">#REF!</definedName>
    <definedName name="_rev97" localSheetId="8">#REF!</definedName>
    <definedName name="_rev97">#REF!</definedName>
    <definedName name="_rev98" localSheetId="12">#REF!</definedName>
    <definedName name="_rev98" localSheetId="4">#REF!</definedName>
    <definedName name="_rev98" localSheetId="8">#REF!</definedName>
    <definedName name="_rev98">#REF!</definedName>
    <definedName name="_rev99" localSheetId="12">#REF!</definedName>
    <definedName name="_rev99" localSheetId="4">#REF!</definedName>
    <definedName name="_rev99" localSheetId="8">#REF!</definedName>
    <definedName name="_rev99">#REF!</definedName>
    <definedName name="_Sort" localSheetId="12" hidden="1">#REF!</definedName>
    <definedName name="_Sort" localSheetId="4" hidden="1">#REF!</definedName>
    <definedName name="_Sort" localSheetId="8" hidden="1">#REF!</definedName>
    <definedName name="_Sort" hidden="1">#REF!</definedName>
    <definedName name="_Table2_Out" localSheetId="12" hidden="1">#REF!</definedName>
    <definedName name="_Table2_Out" localSheetId="1" hidden="1">#REF!</definedName>
    <definedName name="_Table2_Out" localSheetId="4" hidden="1">#REF!</definedName>
    <definedName name="_Table2_Out" localSheetId="8" hidden="1">#REF!</definedName>
    <definedName name="_Table2_Out" hidden="1">#REF!</definedName>
    <definedName name="_tax96" localSheetId="12">#REF!</definedName>
    <definedName name="_tax96" localSheetId="1">[1]IS!$AO$31</definedName>
    <definedName name="_tax96" localSheetId="4">#REF!</definedName>
    <definedName name="_tax96" localSheetId="8">#REF!</definedName>
    <definedName name="_tax96">#REF!</definedName>
    <definedName name="_tax97" localSheetId="12">#REF!</definedName>
    <definedName name="_tax97" localSheetId="1">[1]IS!$AT$31</definedName>
    <definedName name="_tax97" localSheetId="4">#REF!</definedName>
    <definedName name="_tax97" localSheetId="8">#REF!</definedName>
    <definedName name="_tax97">#REF!</definedName>
    <definedName name="_tax98" localSheetId="12">#REF!</definedName>
    <definedName name="_tax98" localSheetId="1">[1]IS!$AY$31</definedName>
    <definedName name="_tax98" localSheetId="4">#REF!</definedName>
    <definedName name="_tax98" localSheetId="8">#REF!</definedName>
    <definedName name="_tax98">#REF!</definedName>
    <definedName name="_tax99" localSheetId="12">#REF!</definedName>
    <definedName name="_tax99" localSheetId="1">[1]IS!$BD$31</definedName>
    <definedName name="_tax99" localSheetId="4">#REF!</definedName>
    <definedName name="_tax99" localSheetId="8">#REF!</definedName>
    <definedName name="_tax99">#REF!</definedName>
    <definedName name="alex" localSheetId="12">#REF!</definedName>
    <definedName name="alex" localSheetId="1">#REF!</definedName>
    <definedName name="alex" localSheetId="4">#REF!</definedName>
    <definedName name="alex" localSheetId="8">#REF!</definedName>
    <definedName name="alex">#REF!</definedName>
    <definedName name="alex1" localSheetId="12">#REF!</definedName>
    <definedName name="alex1" localSheetId="4">#REF!</definedName>
    <definedName name="alex1" localSheetId="8">#REF!</definedName>
    <definedName name="alex1">#REF!</definedName>
    <definedName name="alex2" localSheetId="12">#REF!</definedName>
    <definedName name="alex2" localSheetId="4">#REF!</definedName>
    <definedName name="alex2" localSheetId="8">#REF!</definedName>
    <definedName name="alex2">#REF!</definedName>
    <definedName name="Balance_Sheet" localSheetId="12">#REF!</definedName>
    <definedName name="Balance_Sheet" localSheetId="4">#REF!</definedName>
    <definedName name="Balance_Sheet" localSheetId="8">#REF!</definedName>
    <definedName name="Balance_Sheet">#REF!</definedName>
    <definedName name="BaseYear">[2]Controls!$C$13</definedName>
    <definedName name="bv" localSheetId="12">#REF!</definedName>
    <definedName name="bv" localSheetId="1">[1]BS!$BB$42</definedName>
    <definedName name="bv" localSheetId="4">#REF!</definedName>
    <definedName name="bv" localSheetId="8">#REF!</definedName>
    <definedName name="bv">#REF!</definedName>
    <definedName name="c_date" localSheetId="12">'[2]Print Controls'!#REF!</definedName>
    <definedName name="c_date" localSheetId="1">'[2]Print Controls'!#REF!</definedName>
    <definedName name="c_date" localSheetId="4">'[2]Print Controls'!#REF!</definedName>
    <definedName name="c_date" localSheetId="8">'[2]Print Controls'!#REF!</definedName>
    <definedName name="c_date" localSheetId="2">'[2]Print Controls'!#REF!</definedName>
    <definedName name="c_date">'[2]Print Controls'!#REF!</definedName>
    <definedName name="cash" localSheetId="12">#REF!</definedName>
    <definedName name="cash" localSheetId="1">[1]BS!$BB$7</definedName>
    <definedName name="cash" localSheetId="4">#REF!</definedName>
    <definedName name="cash" localSheetId="8">#REF!</definedName>
    <definedName name="cash">#REF!</definedName>
    <definedName name="Cashflow_Statement" localSheetId="12">#REF!</definedName>
    <definedName name="Cashflow_Statement" localSheetId="1">#REF!</definedName>
    <definedName name="Cashflow_Statement" localSheetId="4">#REF!</definedName>
    <definedName name="Cashflow_Statement" localSheetId="8">#REF!</definedName>
    <definedName name="Cashflow_Statement">#REF!</definedName>
    <definedName name="cashps" localSheetId="12">#REF!</definedName>
    <definedName name="cashps" localSheetId="1">[1]BS!$BB$43</definedName>
    <definedName name="cashps" localSheetId="4">#REF!</definedName>
    <definedName name="cashps" localSheetId="8">#REF!</definedName>
    <definedName name="cashps">#REF!</definedName>
    <definedName name="Close">OFFSET([3]Cover!$AO$8,,,COUNTA([3]Cover!$AO$8:$AO$62),1)</definedName>
    <definedName name="Company">[2]Controls!$C$6</definedName>
    <definedName name="currenta" localSheetId="12">#REF!</definedName>
    <definedName name="currenta" localSheetId="1">[1]BS!$BB$12</definedName>
    <definedName name="currenta" localSheetId="4">#REF!</definedName>
    <definedName name="currenta" localSheetId="8">#REF!</definedName>
    <definedName name="currenta">#REF!</definedName>
    <definedName name="currentl" localSheetId="12">#REF!</definedName>
    <definedName name="currentl" localSheetId="1">[1]BS!$BB$29</definedName>
    <definedName name="currentl" localSheetId="4">#REF!</definedName>
    <definedName name="currentl" localSheetId="8">#REF!</definedName>
    <definedName name="currentl">#REF!</definedName>
    <definedName name="date" localSheetId="1">#REF!</definedName>
    <definedName name="Date">OFFSET([3]Cover!$AL$8,,,COUNTA([3]Cover!$AL$8:$AL$300),1)</definedName>
    <definedName name="DateHeader">[2]Controls!$D$17</definedName>
    <definedName name="debt" localSheetId="12">#REF!</definedName>
    <definedName name="debt" localSheetId="1">[1]BS!$BB$44</definedName>
    <definedName name="debt" localSheetId="4">#REF!</definedName>
    <definedName name="debt" localSheetId="8">#REF!</definedName>
    <definedName name="debt">#REF!</definedName>
    <definedName name="debttc" localSheetId="12">#REF!</definedName>
    <definedName name="debttc" localSheetId="1">[1]BS!$BB$46</definedName>
    <definedName name="debttc" localSheetId="4">#REF!</definedName>
    <definedName name="debttc" localSheetId="8">#REF!</definedName>
    <definedName name="debttc">#REF!</definedName>
    <definedName name="dividend" localSheetId="12">#REF!</definedName>
    <definedName name="dividend" localSheetId="1">[4]IS!$AN$36</definedName>
    <definedName name="dividend" localSheetId="4">#REF!</definedName>
    <definedName name="dividend" localSheetId="8">#REF!</definedName>
    <definedName name="dividend">#REF!</definedName>
    <definedName name="DollarHeader">[2]Controls!$D$12</definedName>
    <definedName name="Dollars_In_Millions__Except_Per_Share_Data" localSheetId="12">#REF!</definedName>
    <definedName name="Dollars_In_Millions__Except_Per_Share_Data" localSheetId="1">#REF!</definedName>
    <definedName name="Dollars_In_Millions__Except_Per_Share_Data" localSheetId="4">#REF!</definedName>
    <definedName name="Dollars_In_Millions__Except_Per_Share_Data" localSheetId="8">#REF!</definedName>
    <definedName name="Dollars_In_Millions__Except_Per_Share_Data" localSheetId="2">#REF!</definedName>
    <definedName name="Dollars_In_Millions__Except_Per_Share_Data">#REF!</definedName>
    <definedName name="dso" localSheetId="12">#REF!</definedName>
    <definedName name="dso" localSheetId="1">[1]BS!$BB$50</definedName>
    <definedName name="dso" localSheetId="4">#REF!</definedName>
    <definedName name="dso" localSheetId="8">#REF!</definedName>
    <definedName name="dso">#REF!</definedName>
    <definedName name="ebitda00" localSheetId="12">#REF!</definedName>
    <definedName name="ebitda00" localSheetId="1">[1]CF!$BI$16</definedName>
    <definedName name="ebitda00" localSheetId="4">#REF!</definedName>
    <definedName name="ebitda00" localSheetId="8">#REF!</definedName>
    <definedName name="ebitda00">#REF!</definedName>
    <definedName name="ebitda96" localSheetId="12">#REF!</definedName>
    <definedName name="ebitda96" localSheetId="1">[1]CF!$AO$16</definedName>
    <definedName name="ebitda96" localSheetId="4">#REF!</definedName>
    <definedName name="ebitda96" localSheetId="8">#REF!</definedName>
    <definedName name="ebitda96">#REF!</definedName>
    <definedName name="ebitda97" localSheetId="12">#REF!</definedName>
    <definedName name="ebitda97" localSheetId="1">[1]CF!$AT$16</definedName>
    <definedName name="ebitda97" localSheetId="4">#REF!</definedName>
    <definedName name="ebitda97" localSheetId="8">#REF!</definedName>
    <definedName name="ebitda97">#REF!</definedName>
    <definedName name="ebitda98" localSheetId="12">#REF!</definedName>
    <definedName name="ebitda98" localSheetId="1">[1]CF!$AY$16</definedName>
    <definedName name="ebitda98" localSheetId="4">#REF!</definedName>
    <definedName name="ebitda98" localSheetId="8">#REF!</definedName>
    <definedName name="ebitda98">#REF!</definedName>
    <definedName name="ebitda99" localSheetId="12">#REF!</definedName>
    <definedName name="ebitda99" localSheetId="1">[1]CF!$BD$16</definedName>
    <definedName name="ebitda99" localSheetId="4">#REF!</definedName>
    <definedName name="ebitda99" localSheetId="8">#REF!</definedName>
    <definedName name="ebitda99">#REF!</definedName>
    <definedName name="ebitdaps00" localSheetId="12">#REF!</definedName>
    <definedName name="ebitdaps00" localSheetId="1">[1]CF!$BI$17</definedName>
    <definedName name="ebitdaps00" localSheetId="4">#REF!</definedName>
    <definedName name="ebitdaps00" localSheetId="8">#REF!</definedName>
    <definedName name="ebitdaps00">#REF!</definedName>
    <definedName name="ebitdaps97" localSheetId="12">#REF!</definedName>
    <definedName name="ebitdaps97" localSheetId="1">#REF!</definedName>
    <definedName name="ebitdaps97" localSheetId="4">#REF!</definedName>
    <definedName name="ebitdaps97" localSheetId="8">#REF!</definedName>
    <definedName name="ebitdaps97">#REF!</definedName>
    <definedName name="ebitdaps98" localSheetId="12">#REF!</definedName>
    <definedName name="ebitdaps98" localSheetId="1">[1]CF!$AY$17</definedName>
    <definedName name="ebitdaps98" localSheetId="4">#REF!</definedName>
    <definedName name="ebitdaps98" localSheetId="8">#REF!</definedName>
    <definedName name="ebitdaps98">#REF!</definedName>
    <definedName name="ebitdaps99" localSheetId="12">#REF!</definedName>
    <definedName name="ebitdaps99" localSheetId="1">[1]CF!$BD$17</definedName>
    <definedName name="ebitdaps99" localSheetId="4">#REF!</definedName>
    <definedName name="ebitdaps99" localSheetId="8">#REF!</definedName>
    <definedName name="ebitdaps99">#REF!</definedName>
    <definedName name="eps00" localSheetId="12">#REF!</definedName>
    <definedName name="eps00" localSheetId="1">[1]IS!$BI$47</definedName>
    <definedName name="eps00" localSheetId="4">#REF!</definedName>
    <definedName name="eps00" localSheetId="8">#REF!</definedName>
    <definedName name="eps00">#REF!</definedName>
    <definedName name="epsffq" localSheetId="12">#REF!</definedName>
    <definedName name="epsffq" localSheetId="1">[1]IS!$BC$79</definedName>
    <definedName name="epsffq" localSheetId="4">#REF!</definedName>
    <definedName name="epsffq" localSheetId="8">#REF!</definedName>
    <definedName name="epsffq">#REF!</definedName>
    <definedName name="epsffqch" localSheetId="12">#REF!</definedName>
    <definedName name="epsffqch" localSheetId="1">[1]IS!$BA$80</definedName>
    <definedName name="epsffqch" localSheetId="4">#REF!</definedName>
    <definedName name="epsffqch" localSheetId="8">#REF!</definedName>
    <definedName name="epsffqch">#REF!</definedName>
    <definedName name="epsffqgr" localSheetId="12">#REF!</definedName>
    <definedName name="epsffqgr" localSheetId="1">[1]IS!$BC$80</definedName>
    <definedName name="epsffqgr" localSheetId="4">#REF!</definedName>
    <definedName name="epsffqgr" localSheetId="8">#REF!</definedName>
    <definedName name="epsffqgr">#REF!</definedName>
    <definedName name="equity" localSheetId="12">#REF!</definedName>
    <definedName name="equity" localSheetId="1">[1]BS!$BB$37</definedName>
    <definedName name="equity" localSheetId="4">#REF!</definedName>
    <definedName name="equity" localSheetId="8">#REF!</definedName>
    <definedName name="equity">#REF!</definedName>
    <definedName name="fcc00" localSheetId="12">#REF!</definedName>
    <definedName name="fcc00" localSheetId="1">#REF!</definedName>
    <definedName name="fcc00" localSheetId="4">#REF!</definedName>
    <definedName name="fcc00" localSheetId="8">#REF!</definedName>
    <definedName name="fcc00">#REF!</definedName>
    <definedName name="fcfps00" localSheetId="12">#REF!</definedName>
    <definedName name="fcfps00" localSheetId="1">[1]CF!$BI$31</definedName>
    <definedName name="fcfps00" localSheetId="4">#REF!</definedName>
    <definedName name="fcfps00" localSheetId="8">#REF!</definedName>
    <definedName name="fcfps00">#REF!</definedName>
    <definedName name="fcfps96" localSheetId="12">#REF!</definedName>
    <definedName name="fcfps96" localSheetId="1">[1]CF!$AO$31</definedName>
    <definedName name="fcfps96" localSheetId="4">#REF!</definedName>
    <definedName name="fcfps96" localSheetId="8">#REF!</definedName>
    <definedName name="fcfps96">#REF!</definedName>
    <definedName name="fcfps97" localSheetId="12">#REF!</definedName>
    <definedName name="fcfps97" localSheetId="1">[1]CF!$AT$31</definedName>
    <definedName name="fcfps97" localSheetId="4">#REF!</definedName>
    <definedName name="fcfps97" localSheetId="8">#REF!</definedName>
    <definedName name="fcfps97">#REF!</definedName>
    <definedName name="fcfps98" localSheetId="12">#REF!</definedName>
    <definedName name="fcfps98" localSheetId="1">[1]CF!$AY$31</definedName>
    <definedName name="fcfps98" localSheetId="4">#REF!</definedName>
    <definedName name="fcfps98" localSheetId="8">#REF!</definedName>
    <definedName name="fcfps98">#REF!</definedName>
    <definedName name="fcfps99" localSheetId="12">#REF!</definedName>
    <definedName name="fcfps99" localSheetId="1">[1]CF!$BD$31</definedName>
    <definedName name="fcfps99" localSheetId="4">#REF!</definedName>
    <definedName name="fcfps99" localSheetId="8">#REF!</definedName>
    <definedName name="fcfps99">#REF!</definedName>
    <definedName name="fixed" localSheetId="12">#REF!</definedName>
    <definedName name="fixed" localSheetId="1">[1]BS!$BB$16</definedName>
    <definedName name="fixed" localSheetId="4">#REF!</definedName>
    <definedName name="fixed" localSheetId="8">#REF!</definedName>
    <definedName name="fixed">#REF!</definedName>
    <definedName name="frcfnetinc" localSheetId="12">#REF!</definedName>
    <definedName name="frcfnetinc" localSheetId="1">[1]CF!$AX$84</definedName>
    <definedName name="frcfnetinc" localSheetId="4">#REF!</definedName>
    <definedName name="frcfnetinc" localSheetId="8">#REF!</definedName>
    <definedName name="frcfnetinc">#REF!</definedName>
    <definedName name="fwdebitda" localSheetId="12">#REF!</definedName>
    <definedName name="fwdebitda" localSheetId="1">[1]CF!$BC$72</definedName>
    <definedName name="fwdebitda" localSheetId="4">#REF!</definedName>
    <definedName name="fwdebitda" localSheetId="8">#REF!</definedName>
    <definedName name="fwdebitda">#REF!</definedName>
    <definedName name="fwdebitdagr" localSheetId="12">#REF!</definedName>
    <definedName name="fwdebitdagr" localSheetId="1">[1]CF!$BC$74</definedName>
    <definedName name="fwdebitdagr" localSheetId="4">#REF!</definedName>
    <definedName name="fwdebitdagr" localSheetId="8">#REF!</definedName>
    <definedName name="fwdebitdagr">#REF!</definedName>
    <definedName name="fwdebitdaps" localSheetId="12">#REF!</definedName>
    <definedName name="fwdebitdaps" localSheetId="1">[1]CF!$BC$73</definedName>
    <definedName name="fwdebitdaps" localSheetId="4">#REF!</definedName>
    <definedName name="fwdebitdaps" localSheetId="8">#REF!</definedName>
    <definedName name="fwdebitdaps">#REF!</definedName>
    <definedName name="fwdfrcf" localSheetId="12">#REF!</definedName>
    <definedName name="fwdfrcf" localSheetId="1">[1]CF!$BC$84</definedName>
    <definedName name="fwdfrcf" localSheetId="4">#REF!</definedName>
    <definedName name="fwdfrcf" localSheetId="8">#REF!</definedName>
    <definedName name="fwdfrcf">#REF!</definedName>
    <definedName name="fwdfrcfch" localSheetId="12">#REF!</definedName>
    <definedName name="fwdfrcfch" localSheetId="1">[1]CF!$BC$88</definedName>
    <definedName name="fwdfrcfch" localSheetId="4">#REF!</definedName>
    <definedName name="fwdfrcfch" localSheetId="8">#REF!</definedName>
    <definedName name="fwdfrcfch">#REF!</definedName>
    <definedName name="fwdfrcfmktcap" localSheetId="12">#REF!</definedName>
    <definedName name="fwdfrcfmktcap" localSheetId="1">[1]CF!$BC$86</definedName>
    <definedName name="fwdfrcfmktcap" localSheetId="4">#REF!</definedName>
    <definedName name="fwdfrcfmktcap" localSheetId="8">#REF!</definedName>
    <definedName name="fwdfrcfmktcap">#REF!</definedName>
    <definedName name="fwdfrcfpct" localSheetId="12">#REF!</definedName>
    <definedName name="fwdfrcfpct" localSheetId="1">[1]CF!$BC$87</definedName>
    <definedName name="fwdfrcfpct" localSheetId="4">#REF!</definedName>
    <definedName name="fwdfrcfpct" localSheetId="8">#REF!</definedName>
    <definedName name="fwdfrcfpct">#REF!</definedName>
    <definedName name="fwdfrcfps" localSheetId="12">#REF!</definedName>
    <definedName name="fwdfrcfps" localSheetId="1">[1]CF!$BC$85</definedName>
    <definedName name="fwdfrcfps" localSheetId="4">#REF!</definedName>
    <definedName name="fwdfrcfps" localSheetId="8">#REF!</definedName>
    <definedName name="fwdfrcfps">#REF!</definedName>
    <definedName name="grm00" localSheetId="12">#REF!</definedName>
    <definedName name="grm00" localSheetId="1">[1]IS!$BI$12</definedName>
    <definedName name="grm00" localSheetId="4">#REF!</definedName>
    <definedName name="grm00" localSheetId="8">#REF!</definedName>
    <definedName name="grm00">#REF!</definedName>
    <definedName name="High">OFFSET([3]Cover!$AM$8,,,COUNTA([3]Cover!$AM$8:$AM$62),1)</definedName>
    <definedName name="Income_Statement" localSheetId="12">#REF!</definedName>
    <definedName name="Income_Statement" localSheetId="1">#REF!</definedName>
    <definedName name="Income_Statement" localSheetId="3">#REF!</definedName>
    <definedName name="Income_Statement" localSheetId="4">#REF!</definedName>
    <definedName name="Income_Statement" localSheetId="8">#REF!</definedName>
    <definedName name="Income_Statement" localSheetId="2">#REF!</definedName>
    <definedName name="Income_Statement">#REF!</definedName>
    <definedName name="Index_COMP">OFFSET([3]Cover!$AU$8,,,COUNTA([3]Cover!$AU$8:$AU$300),1)</definedName>
    <definedName name="Index_Composite">OFFSET([3]Cover!$AS$8,,,COUNTA([3]Cover!$AS$8:$AS$300),1)</definedName>
    <definedName name="Index_Price">OFFSET([3]Cover!$AR$8,,,COUNTA([3]Cover!$AR$8:$AR$300),1)</definedName>
    <definedName name="Index_SP500">OFFSET([3]Cover!$AT$8,,,COUNTA([3]Cover!$AT$8:$AT$300),1)</definedName>
    <definedName name="intl" localSheetId="12">#REF!</definedName>
    <definedName name="intl" localSheetId="1">[1]Seg!$P$141</definedName>
    <definedName name="intl" localSheetId="4">#REF!</definedName>
    <definedName name="intl" localSheetId="8">#REF!</definedName>
    <definedName name="intl">#REF!</definedName>
    <definedName name="lastq" localSheetId="12">#REF!</definedName>
    <definedName name="lastq" localSheetId="1">[1]IS!$BB$47</definedName>
    <definedName name="lastq" localSheetId="4">#REF!</definedName>
    <definedName name="lastq" localSheetId="8">#REF!</definedName>
    <definedName name="lastq">#REF!</definedName>
    <definedName name="lastqy" localSheetId="12">#REF!</definedName>
    <definedName name="lastqy" localSheetId="1">[1]IS!$AW$47</definedName>
    <definedName name="lastqy" localSheetId="4">#REF!</definedName>
    <definedName name="lastqy" localSheetId="8">#REF!</definedName>
    <definedName name="lastqy">#REF!</definedName>
    <definedName name="Low">OFFSET([3]Cover!$AN$8,,,COUNTA([3]Cover!$AN$8:$AN$62),1)</definedName>
    <definedName name="ltdebt" localSheetId="12">#REF!</definedName>
    <definedName name="ltdebt" localSheetId="1">[1]BS!$BB$31</definedName>
    <definedName name="ltdebt" localSheetId="4">#REF!</definedName>
    <definedName name="ltdebt" localSheetId="8">#REF!</definedName>
    <definedName name="ltdebt">#REF!</definedName>
    <definedName name="ltmax" localSheetId="12">#REF!</definedName>
    <definedName name="ltmax" localSheetId="1">[1]BS!$BB$54</definedName>
    <definedName name="ltmax" localSheetId="4">#REF!</definedName>
    <definedName name="ltmax" localSheetId="8">#REF!</definedName>
    <definedName name="ltmax">#REF!</definedName>
    <definedName name="ltmcapexdepr" localSheetId="12">#REF!</definedName>
    <definedName name="ltmcapexdepr" localSheetId="1">[1]CF!$BB$78</definedName>
    <definedName name="ltmcapexdepr" localSheetId="4">#REF!</definedName>
    <definedName name="ltmcapexdepr" localSheetId="8">#REF!</definedName>
    <definedName name="ltmcapexdepr">#REF!</definedName>
    <definedName name="ltmcapexopcf" localSheetId="12">#REF!</definedName>
    <definedName name="ltmcapexopcf" localSheetId="1">[1]CF!$BB$77</definedName>
    <definedName name="ltmcapexopcf" localSheetId="4">#REF!</definedName>
    <definedName name="ltmcapexopcf" localSheetId="8">#REF!</definedName>
    <definedName name="ltmcapexopcf">#REF!</definedName>
    <definedName name="ltmcapexpct" localSheetId="12">#REF!</definedName>
    <definedName name="ltmcapexpct" localSheetId="1">[1]CF!$BB$76</definedName>
    <definedName name="ltmcapexpct" localSheetId="4">#REF!</definedName>
    <definedName name="ltmcapexpct" localSheetId="8">#REF!</definedName>
    <definedName name="ltmcapexpct">#REF!</definedName>
    <definedName name="ltmebitda" localSheetId="12">#REF!</definedName>
    <definedName name="ltmebitda" localSheetId="1">[1]CF!$BB$68</definedName>
    <definedName name="ltmebitda" localSheetId="4">#REF!</definedName>
    <definedName name="ltmebitda" localSheetId="8">#REF!</definedName>
    <definedName name="ltmebitda">#REF!</definedName>
    <definedName name="ltmebitdagr" localSheetId="12">#REF!</definedName>
    <definedName name="ltmebitdagr" localSheetId="1">[1]CF!$BB$69</definedName>
    <definedName name="ltmebitdagr" localSheetId="4">#REF!</definedName>
    <definedName name="ltmebitdagr" localSheetId="8">#REF!</definedName>
    <definedName name="ltmebitdagr">#REF!</definedName>
    <definedName name="ltmebitdam" localSheetId="12">#REF!</definedName>
    <definedName name="ltmebitdam" localSheetId="1">[1]IS!$BB$75</definedName>
    <definedName name="ltmebitdam" localSheetId="4">#REF!</definedName>
    <definedName name="ltmebitdam" localSheetId="8">#REF!</definedName>
    <definedName name="ltmebitdam">#REF!</definedName>
    <definedName name="ltmebitdaps" localSheetId="12">#REF!</definedName>
    <definedName name="ltmebitdaps" localSheetId="1">[1]CF!$BB$70</definedName>
    <definedName name="ltmebitdaps" localSheetId="4">#REF!</definedName>
    <definedName name="ltmebitdaps" localSheetId="8">#REF!</definedName>
    <definedName name="ltmebitdaps">#REF!</definedName>
    <definedName name="ltmeps" localSheetId="12">#REF!</definedName>
    <definedName name="ltmeps" localSheetId="1">[1]IS!$BB$76</definedName>
    <definedName name="ltmeps" localSheetId="4">#REF!</definedName>
    <definedName name="ltmeps" localSheetId="8">#REF!</definedName>
    <definedName name="ltmeps">#REF!</definedName>
    <definedName name="ltmepsgr" localSheetId="12">#REF!</definedName>
    <definedName name="ltmepsgr" localSheetId="1">[1]IS!$BB$77</definedName>
    <definedName name="ltmepsgr" localSheetId="4">#REF!</definedName>
    <definedName name="ltmepsgr" localSheetId="8">#REF!</definedName>
    <definedName name="ltmepsgr">#REF!</definedName>
    <definedName name="ltmfax" localSheetId="12">#REF!</definedName>
    <definedName name="ltmfax" localSheetId="1">[1]BS!$BB$55</definedName>
    <definedName name="ltmfax" localSheetId="4">#REF!</definedName>
    <definedName name="ltmfax" localSheetId="8">#REF!</definedName>
    <definedName name="ltmfax">#REF!</definedName>
    <definedName name="ltmfrcf" localSheetId="12">#REF!</definedName>
    <definedName name="ltmfrcf" localSheetId="1">[1]CF!$BB$80</definedName>
    <definedName name="ltmfrcf" localSheetId="4">#REF!</definedName>
    <definedName name="ltmfrcf" localSheetId="8">#REF!</definedName>
    <definedName name="ltmfrcf">#REF!</definedName>
    <definedName name="ltmfrcfgr" localSheetId="12">#REF!</definedName>
    <definedName name="ltmfrcfgr" localSheetId="1">[1]CF!$BB$82</definedName>
    <definedName name="ltmfrcfgr" localSheetId="4">#REF!</definedName>
    <definedName name="ltmfrcfgr" localSheetId="8">#REF!</definedName>
    <definedName name="ltmfrcfgr">#REF!</definedName>
    <definedName name="ltmfrcfps" localSheetId="12">#REF!</definedName>
    <definedName name="ltmfrcfps" localSheetId="1">[1]CF!$BB$81</definedName>
    <definedName name="ltmfrcfps" localSheetId="4">#REF!</definedName>
    <definedName name="ltmfrcfps" localSheetId="8">#REF!</definedName>
    <definedName name="ltmfrcfps">#REF!</definedName>
    <definedName name="ltmgm" localSheetId="12">#REF!</definedName>
    <definedName name="ltmgm" localSheetId="1">[1]IS!$BB$72</definedName>
    <definedName name="ltmgm" localSheetId="4">#REF!</definedName>
    <definedName name="ltmgm" localSheetId="8">#REF!</definedName>
    <definedName name="ltmgm">#REF!</definedName>
    <definedName name="ltminvx" localSheetId="12">#REF!</definedName>
    <definedName name="ltminvx" localSheetId="1">[1]BS!$BB$52</definedName>
    <definedName name="ltminvx" localSheetId="4">#REF!</definedName>
    <definedName name="ltminvx" localSheetId="8">#REF!</definedName>
    <definedName name="ltminvx">#REF!</definedName>
    <definedName name="ltmom" localSheetId="12">#REF!</definedName>
    <definedName name="ltmom" localSheetId="1">[1]IS!$BB$73</definedName>
    <definedName name="ltmom" localSheetId="4">#REF!</definedName>
    <definedName name="ltmom" localSheetId="8">#REF!</definedName>
    <definedName name="ltmom">#REF!</definedName>
    <definedName name="ltmomch" localSheetId="12">#REF!</definedName>
    <definedName name="ltmomch" localSheetId="1">[1]IS!$BB$74</definedName>
    <definedName name="ltmomch" localSheetId="4">#REF!</definedName>
    <definedName name="ltmomch" localSheetId="8">#REF!</definedName>
    <definedName name="ltmomch">#REF!</definedName>
    <definedName name="ltmrev" localSheetId="12">#REF!</definedName>
    <definedName name="ltmrev" localSheetId="1">[1]IS!$BB$70</definedName>
    <definedName name="ltmrev" localSheetId="4">#REF!</definedName>
    <definedName name="ltmrev" localSheetId="8">#REF!</definedName>
    <definedName name="ltmrev">#REF!</definedName>
    <definedName name="ltmrevgr" localSheetId="12">#REF!</definedName>
    <definedName name="ltmrevgr" localSheetId="1">[1]IS!$BB$71</definedName>
    <definedName name="ltmrevgr" localSheetId="4">#REF!</definedName>
    <definedName name="ltmrevgr" localSheetId="8">#REF!</definedName>
    <definedName name="ltmrevgr">#REF!</definedName>
    <definedName name="ltmrndpct" localSheetId="12">#REF!</definedName>
    <definedName name="ltmrndpct" localSheetId="1">[1]IS!$BB$81</definedName>
    <definedName name="ltmrndpct" localSheetId="4">#REF!</definedName>
    <definedName name="ltmrndpct" localSheetId="8">#REF!</definedName>
    <definedName name="ltmrndpct">#REF!</definedName>
    <definedName name="ltmroa" localSheetId="12">#REF!</definedName>
    <definedName name="ltmroa" localSheetId="1">[1]BS!$BB$53</definedName>
    <definedName name="ltmroa" localSheetId="4">#REF!</definedName>
    <definedName name="ltmroa" localSheetId="8">#REF!</definedName>
    <definedName name="ltmroa">#REF!</definedName>
    <definedName name="ltmroe" localSheetId="12">#REF!</definedName>
    <definedName name="ltmroe" localSheetId="1">[1]BS!$BB$57</definedName>
    <definedName name="ltmroe" localSheetId="4">#REF!</definedName>
    <definedName name="ltmroe" localSheetId="8">#REF!</definedName>
    <definedName name="ltmroe">#REF!</definedName>
    <definedName name="ltmspe" localSheetId="12">#REF!</definedName>
    <definedName name="ltmspe" localSheetId="1">[1]IS!$AY$62</definedName>
    <definedName name="ltmspe" localSheetId="4">#REF!</definedName>
    <definedName name="ltmspe" localSheetId="8">#REF!</definedName>
    <definedName name="ltmspe">#REF!</definedName>
    <definedName name="ltmspegr" localSheetId="12">#REF!</definedName>
    <definedName name="ltmspegr" localSheetId="1">[1]IS!$AY$63</definedName>
    <definedName name="ltmspegr" localSheetId="4">#REF!</definedName>
    <definedName name="ltmspegr" localSheetId="8">#REF!</definedName>
    <definedName name="ltmspegr">#REF!</definedName>
    <definedName name="ltmspsqft" localSheetId="12">#REF!</definedName>
    <definedName name="ltmspsqft" localSheetId="1">[1]IS!$AY$67</definedName>
    <definedName name="ltmspsqft" localSheetId="4">#REF!</definedName>
    <definedName name="ltmspsqft" localSheetId="8">#REF!</definedName>
    <definedName name="ltmspsqft">#REF!</definedName>
    <definedName name="ltmspsqftgr" localSheetId="12">#REF!</definedName>
    <definedName name="ltmspsqftgr" localSheetId="1">[1]IS!$AY$68</definedName>
    <definedName name="ltmspsqftgr" localSheetId="4">#REF!</definedName>
    <definedName name="ltmspsqftgr" localSheetId="8">#REF!</definedName>
    <definedName name="ltmspsqftgr">#REF!</definedName>
    <definedName name="ltmwcx" localSheetId="12">#REF!</definedName>
    <definedName name="ltmwcx" localSheetId="1">[1]BS!$BB$56</definedName>
    <definedName name="ltmwcx" localSheetId="4">#REF!</definedName>
    <definedName name="ltmwcx" localSheetId="8">#REF!</definedName>
    <definedName name="ltmwcx">#REF!</definedName>
    <definedName name="MARGIN" localSheetId="12">IF(ISBLANK(#REF!),"          NM",#REF!/#REF!)</definedName>
    <definedName name="MARGIN" localSheetId="1">IF(ISBLANK(#REF!),"          NM",#REF!/#REF!)</definedName>
    <definedName name="MARGIN" localSheetId="3">IF(ISBLANK(#REF!),"          NM",#REF!/#REF!)</definedName>
    <definedName name="MARGIN" localSheetId="4">IF(ISBLANK(#REF!),"          NM",#REF!/#REF!)</definedName>
    <definedName name="MARGIN" localSheetId="8">IF(ISBLANK(#REF!),"          NM",#REF!/#REF!)</definedName>
    <definedName name="MARGIN" localSheetId="2">IF(ISBLANK(#REF!),"          NM",#REF!/#REF!)</definedName>
    <definedName name="MARGIN">IF(ISBLANK(#REF!),"          NM",#REF!/#REF!)</definedName>
    <definedName name="mgmtown" localSheetId="12">#REF!</definedName>
    <definedName name="mgmtown" localSheetId="1">[1]IS!$AY$64</definedName>
    <definedName name="mgmtown" localSheetId="4">#REF!</definedName>
    <definedName name="mgmtown" localSheetId="8">#REF!</definedName>
    <definedName name="mgmtown">#REF!</definedName>
    <definedName name="mktcap" localSheetId="12">#REF!</definedName>
    <definedName name="mktcap" localSheetId="1">'[1]New Template'!$R$49</definedName>
    <definedName name="mktcap" localSheetId="4">#REF!</definedName>
    <definedName name="mktcap" localSheetId="8">#REF!</definedName>
    <definedName name="mktcap">#REF!</definedName>
    <definedName name="MonitorCol">1</definedName>
    <definedName name="MonitorRow">1</definedName>
    <definedName name="net00" localSheetId="12">#REF!</definedName>
    <definedName name="net00" localSheetId="1">[1]IS!$BI$39</definedName>
    <definedName name="net00" localSheetId="4">#REF!</definedName>
    <definedName name="net00" localSheetId="8">#REF!</definedName>
    <definedName name="net00">#REF!</definedName>
    <definedName name="nextq" localSheetId="12">#REF!</definedName>
    <definedName name="nextq" localSheetId="1">[1]IS!$BC$47</definedName>
    <definedName name="nextq" localSheetId="4">#REF!</definedName>
    <definedName name="nextq" localSheetId="8">#REF!</definedName>
    <definedName name="nextq">#REF!</definedName>
    <definedName name="nextqy" localSheetId="12">#REF!</definedName>
    <definedName name="nextqy" localSheetId="1">[1]IS!$AX$47</definedName>
    <definedName name="nextqy" localSheetId="4">#REF!</definedName>
    <definedName name="nextqy" localSheetId="8">#REF!</definedName>
    <definedName name="nextqy">#REF!</definedName>
    <definedName name="opcagr" localSheetId="12">#REF!</definedName>
    <definedName name="opcagr" localSheetId="1">[1]IS!$AY$78</definedName>
    <definedName name="opcagr" localSheetId="4">#REF!</definedName>
    <definedName name="opcagr" localSheetId="8">#REF!</definedName>
    <definedName name="opcagr">#REF!</definedName>
    <definedName name="opcfnetinc" localSheetId="12">#REF!</definedName>
    <definedName name="opcfnetinc" localSheetId="1">[1]CF!$BB$79</definedName>
    <definedName name="opcfnetinc" localSheetId="4">#REF!</definedName>
    <definedName name="opcfnetinc" localSheetId="8">#REF!</definedName>
    <definedName name="opcfnetinc">#REF!</definedName>
    <definedName name="opm00" localSheetId="12">#REF!</definedName>
    <definedName name="opm00" localSheetId="1">[1]IS!$BI$21</definedName>
    <definedName name="opm00" localSheetId="4">#REF!</definedName>
    <definedName name="opm00" localSheetId="8">#REF!</definedName>
    <definedName name="opm00">#REF!</definedName>
    <definedName name="p_Depr" localSheetId="12">#REF!</definedName>
    <definedName name="p_Depr" localSheetId="1">#REF!</definedName>
    <definedName name="p_Depr" localSheetId="4">#REF!</definedName>
    <definedName name="p_Depr" localSheetId="8">#REF!</definedName>
    <definedName name="p_Depr">#REF!</definedName>
    <definedName name="percent_of_revenue" localSheetId="12">IF(ISBLANK(#REF!),"          NM",#REF!/#REF!)</definedName>
    <definedName name="percent_of_revenue" localSheetId="1">IF(ISBLANK(#REF!),"          NM",#REF!/#REF!)</definedName>
    <definedName name="percent_of_revenue" localSheetId="3">IF(ISBLANK(#REF!),"          NM",#REF!/#REF!)</definedName>
    <definedName name="percent_of_revenue" localSheetId="4">IF(ISBLANK(#REF!),"          NM",#REF!/#REF!)</definedName>
    <definedName name="percent_of_revenue" localSheetId="8">IF(ISBLANK(#REF!),"          NM",#REF!/#REF!)</definedName>
    <definedName name="percent_of_revenue" localSheetId="2">IF(ISBLANK(#REF!),"          NM",#REF!/#REF!)</definedName>
    <definedName name="percent_of_revenue">IF(ISBLANK(#REF!),"          NM",#REF!/#REF!)</definedName>
    <definedName name="Pr_BalSh" localSheetId="12">#REF!</definedName>
    <definedName name="Pr_BalSh" localSheetId="4">#REF!</definedName>
    <definedName name="Pr_BalSh" localSheetId="8">#REF!</definedName>
    <definedName name="Pr_BalSh">#REF!</definedName>
    <definedName name="Pr_CapEx" localSheetId="12">#REF!</definedName>
    <definedName name="Pr_CapEx" localSheetId="4">#REF!</definedName>
    <definedName name="Pr_CapEx" localSheetId="8">#REF!</definedName>
    <definedName name="Pr_CapEx">#REF!</definedName>
    <definedName name="Pr_Consolidated" localSheetId="12">#REF!</definedName>
    <definedName name="Pr_Consolidated" localSheetId="4">#REF!</definedName>
    <definedName name="Pr_Consolidated" localSheetId="8">#REF!</definedName>
    <definedName name="Pr_Consolidated">#REF!</definedName>
    <definedName name="Pr_Cover" localSheetId="12">#REF!</definedName>
    <definedName name="Pr_Cover" localSheetId="4">#REF!</definedName>
    <definedName name="Pr_Cover" localSheetId="8">#REF!</definedName>
    <definedName name="Pr_Cover">#REF!</definedName>
    <definedName name="Pr_Equipment" localSheetId="12">#REF!</definedName>
    <definedName name="Pr_Equipment" localSheetId="1">#REF!</definedName>
    <definedName name="Pr_Equipment" localSheetId="4">#REF!</definedName>
    <definedName name="Pr_Equipment" localSheetId="8">#REF!</definedName>
    <definedName name="Pr_Equipment">#REF!</definedName>
    <definedName name="Pr_Expenses" localSheetId="12">#REF!</definedName>
    <definedName name="Pr_Expenses" localSheetId="4">#REF!</definedName>
    <definedName name="Pr_Expenses" localSheetId="8">#REF!</definedName>
    <definedName name="Pr_Expenses">#REF!</definedName>
    <definedName name="Pr_IncStmt" localSheetId="12">#REF!</definedName>
    <definedName name="Pr_IncStmt" localSheetId="4">#REF!</definedName>
    <definedName name="Pr_IncStmt" localSheetId="8">#REF!</definedName>
    <definedName name="Pr_IncStmt">#REF!</definedName>
    <definedName name="Pr_SubProfPg1" localSheetId="12">#REF!</definedName>
    <definedName name="Pr_SubProfPg1" localSheetId="1">#REF!</definedName>
    <definedName name="Pr_SubProfPg1" localSheetId="4">#REF!</definedName>
    <definedName name="Pr_SubProfPg1" localSheetId="8">#REF!</definedName>
    <definedName name="Pr_SubProfPg1">#REF!</definedName>
    <definedName name="Pr_SubProfPg2" localSheetId="12">#REF!</definedName>
    <definedName name="Pr_SubProfPg2" localSheetId="1">#REF!</definedName>
    <definedName name="Pr_SubProfPg2" localSheetId="4">#REF!</definedName>
    <definedName name="Pr_SubProfPg2" localSheetId="8">#REF!</definedName>
    <definedName name="Pr_SubProfPg2">#REF!</definedName>
    <definedName name="Pr_SubProfPg3" localSheetId="12">#REF!</definedName>
    <definedName name="Pr_SubProfPg3" localSheetId="4">#REF!</definedName>
    <definedName name="Pr_SubProfPg3" localSheetId="8">#REF!</definedName>
    <definedName name="Pr_SubProfPg3">#REF!</definedName>
    <definedName name="Pr_Subs" localSheetId="12">#REF!</definedName>
    <definedName name="Pr_Subs" localSheetId="4">#REF!</definedName>
    <definedName name="Pr_Subs" localSheetId="8">#REF!</definedName>
    <definedName name="Pr_Subs">#REF!</definedName>
    <definedName name="price" localSheetId="12">#REF!</definedName>
    <definedName name="price" localSheetId="1">'[1]New Template'!$H$6</definedName>
    <definedName name="price" localSheetId="4">#REF!</definedName>
    <definedName name="price" localSheetId="8">#REF!</definedName>
    <definedName name="price">#REF!</definedName>
    <definedName name="_xlnm.Print_Area" localSheetId="12">' OLD'!$B$2:$AT$46</definedName>
    <definedName name="_xlnm.Print_Area" localSheetId="6">'Billings &amp; Recs'!$B$2:$BU$28,'Billings &amp; Recs'!$B$57:$BU$104</definedName>
    <definedName name="_xlnm.Print_Area" localSheetId="3">BS!$B$2:$CE$57</definedName>
    <definedName name="_xlnm.Print_Area" localSheetId="4">CF!$B$2:$CE$74</definedName>
    <definedName name="_xlnm.Print_Area" localSheetId="8">Channel!$B$2:$AX$33,Channel!$B$37:$BS$68</definedName>
    <definedName name="_xlnm.Print_Area" localSheetId="7">Geography!$B$2:$BS$33</definedName>
    <definedName name="_xlnm.Print_Area" localSheetId="5">IS!$B$2:$CE$73,IS!$B$131:$CE$184</definedName>
    <definedName name="_xlnm.Print_Area" localSheetId="10">Preview!$D$14:$H$35</definedName>
    <definedName name="_xlnm.Print_Area" localSheetId="9">Retention!$B$2:$Y$19</definedName>
    <definedName name="_xlnm.Print_Area" localSheetId="2">Variance!$B$2:$Q$53</definedName>
    <definedName name="Print_Area_MI" localSheetId="12">#REF!</definedName>
    <definedName name="Print_Area_MI" localSheetId="1">#REF!</definedName>
    <definedName name="Print_Area_MI" localSheetId="3">#REF!</definedName>
    <definedName name="Print_Area_MI" localSheetId="4">#REF!</definedName>
    <definedName name="Print_Area_MI" localSheetId="8">#REF!</definedName>
    <definedName name="Print_Area_MI" localSheetId="2">#REF!</definedName>
    <definedName name="Print_Area_MI">#REF!</definedName>
    <definedName name="print_bs" localSheetId="12">#REF!</definedName>
    <definedName name="print_bs" localSheetId="1">#REF!</definedName>
    <definedName name="print_bs" localSheetId="4">#REF!</definedName>
    <definedName name="print_bs" localSheetId="8">#REF!</definedName>
    <definedName name="print_bs">#REF!</definedName>
    <definedName name="print_cf" localSheetId="12">#REF!</definedName>
    <definedName name="print_cf" localSheetId="1">#REF!</definedName>
    <definedName name="print_cf" localSheetId="4">#REF!</definedName>
    <definedName name="print_cf" localSheetId="8">#REF!</definedName>
    <definedName name="print_cf">#REF!</definedName>
    <definedName name="print_pl" localSheetId="12">#REF!</definedName>
    <definedName name="print_pl" localSheetId="4">#REF!</definedName>
    <definedName name="print_pl" localSheetId="8">#REF!</definedName>
    <definedName name="print_pl">#REF!</definedName>
    <definedName name="print_value" localSheetId="12">#REF!</definedName>
    <definedName name="print_value" localSheetId="4">#REF!</definedName>
    <definedName name="print_value" localSheetId="8">#REF!</definedName>
    <definedName name="print_value">#REF!</definedName>
    <definedName name="proj" localSheetId="12">'[2]Print Controls'!#REF!</definedName>
    <definedName name="proj" localSheetId="1">'[2]Print Controls'!#REF!</definedName>
    <definedName name="proj" localSheetId="4">'[2]Print Controls'!#REF!</definedName>
    <definedName name="proj" localSheetId="8">'[2]Print Controls'!#REF!</definedName>
    <definedName name="proj">'[2]Print Controls'!#REF!</definedName>
    <definedName name="QOQ" localSheetId="12">IF(ISBLANK(#REF!), IF(#REF!&lt;=0,"         NM",(#REF!/#REF!)-1),IF(#REF!&lt;=0,"         NM",(#REF!/#REF!)-1))</definedName>
    <definedName name="QOQ" localSheetId="1">IF(ISBLANK(#REF!), IF(#REF!&lt;=0,"         NM",(#REF!/#REF!)-1),IF(#REF!&lt;=0,"         NM",(#REF!/#REF!)-1))</definedName>
    <definedName name="QOQ" localSheetId="3">IF(ISBLANK(#REF!), IF(#REF!&lt;=0,"         NM",(#REF!/#REF!)-1),IF(#REF!&lt;=0,"         NM",(#REF!/#REF!)-1))</definedName>
    <definedName name="QOQ" localSheetId="4">IF(ISBLANK(#REF!), IF(#REF!&lt;=0,"         NM",(#REF!/#REF!)-1),IF(#REF!&lt;=0,"         NM",(#REF!/#REF!)-1))</definedName>
    <definedName name="QOQ" localSheetId="8">IF(ISBLANK(#REF!), IF(#REF!&lt;=0,"         NM",(#REF!/#REF!)-1),IF(#REF!&lt;=0,"         NM",(#REF!/#REF!)-1))</definedName>
    <definedName name="QOQ">IF(ISBLANK(#REF!), IF(#REF!&lt;=0,"         NM",(#REF!/#REF!)-1),IF(#REF!&lt;=0,"         NM",(#REF!/#REF!)-1))</definedName>
    <definedName name="QOQM" localSheetId="12">IF(ISBLANK(#REF!),IF(#REF!=0,"NM",(#REF!/#REF!)-1),IF(#REF!=0,"NM",(#REF!/#REF!)-1))</definedName>
    <definedName name="QOQM" localSheetId="1">IF(ISBLANK(#REF!),IF(#REF!=0,"NM",(#REF!/#REF!)-1),IF(#REF!=0,"NM",(#REF!/#REF!)-1))</definedName>
    <definedName name="QOQM" localSheetId="4">IF(ISBLANK(#REF!),IF(#REF!=0,"NM",(#REF!/#REF!)-1),IF(#REF!=0,"NM",(#REF!/#REF!)-1))</definedName>
    <definedName name="QOQM" localSheetId="8">IF(ISBLANK(#REF!),IF(#REF!=0,"NM",(#REF!/#REF!)-1),IF(#REF!=0,"NM",(#REF!/#REF!)-1))</definedName>
    <definedName name="QOQM">IF(ISBLANK(#REF!),IF(#REF!=0,"NM",(#REF!/#REF!)-1),IF(#REF!=0,"NM",(#REF!/#REF!)-1))</definedName>
    <definedName name="rating" localSheetId="12">#REF!</definedName>
    <definedName name="rating" localSheetId="1">'[1]New Template'!$B$6</definedName>
    <definedName name="rating" localSheetId="4">#REF!</definedName>
    <definedName name="rating" localSheetId="8">#REF!</definedName>
    <definedName name="rating">#REF!</definedName>
    <definedName name="ret" localSheetId="12">#REF!</definedName>
    <definedName name="ret" localSheetId="1">#REF!</definedName>
    <definedName name="ret" localSheetId="4">#REF!</definedName>
    <definedName name="ret" localSheetId="8">#REF!</definedName>
    <definedName name="ret">#REF!</definedName>
    <definedName name="rev00" localSheetId="12">#REF!</definedName>
    <definedName name="rev00" localSheetId="4">#REF!</definedName>
    <definedName name="rev00" localSheetId="8">#REF!</definedName>
    <definedName name="rev00">#REF!</definedName>
    <definedName name="revchg00" localSheetId="12">#REF!</definedName>
    <definedName name="revchg00" localSheetId="4">#REF!</definedName>
    <definedName name="revchg00" localSheetId="8">#REF!</definedName>
    <definedName name="revchg00">#REF!</definedName>
    <definedName name="revchg97" localSheetId="12">#REF!</definedName>
    <definedName name="revchg97" localSheetId="4">#REF!</definedName>
    <definedName name="revchg97" localSheetId="8">#REF!</definedName>
    <definedName name="revchg97">#REF!</definedName>
    <definedName name="revchg98" localSheetId="12">#REF!</definedName>
    <definedName name="revchg98" localSheetId="4">#REF!</definedName>
    <definedName name="revchg98" localSheetId="8">#REF!</definedName>
    <definedName name="revchg98">#REF!</definedName>
    <definedName name="revchg99" localSheetId="12">#REF!</definedName>
    <definedName name="revchg99" localSheetId="4">#REF!</definedName>
    <definedName name="revchg99" localSheetId="8">#REF!</definedName>
    <definedName name="revchg99">#REF!</definedName>
    <definedName name="risk" localSheetId="12">#REF!</definedName>
    <definedName name="risk" localSheetId="4">#REF!</definedName>
    <definedName name="risk" localSheetId="8">#REF!</definedName>
    <definedName name="risk">#REF!</definedName>
    <definedName name="RPREF" localSheetId="12">#REF!</definedName>
    <definedName name="RPREF" localSheetId="1">#REF!</definedName>
    <definedName name="RPREF" localSheetId="4">#REF!</definedName>
    <definedName name="RPREF" localSheetId="8">#REF!</definedName>
    <definedName name="RPREF">#REF!</definedName>
    <definedName name="RSUB" localSheetId="12">#REF!</definedName>
    <definedName name="RSUB" localSheetId="1">#REF!</definedName>
    <definedName name="RSUB" localSheetId="4">#REF!</definedName>
    <definedName name="RSUB" localSheetId="8">#REF!</definedName>
    <definedName name="RSUB">#REF!</definedName>
    <definedName name="sales00" localSheetId="12">#REF!</definedName>
    <definedName name="sales00" localSheetId="1">[1]IS!$BI$7</definedName>
    <definedName name="sales00" localSheetId="4">#REF!</definedName>
    <definedName name="sales00" localSheetId="8">#REF!</definedName>
    <definedName name="sales00">#REF!</definedName>
    <definedName name="sales96" localSheetId="12">#REF!</definedName>
    <definedName name="sales96" localSheetId="1">[1]IS!$AO$7</definedName>
    <definedName name="sales96" localSheetId="4">#REF!</definedName>
    <definedName name="sales96" localSheetId="8">#REF!</definedName>
    <definedName name="sales96">#REF!</definedName>
    <definedName name="sales97" localSheetId="12">#REF!</definedName>
    <definedName name="sales97" localSheetId="1">[1]IS!$AT$7</definedName>
    <definedName name="sales97" localSheetId="4">#REF!</definedName>
    <definedName name="sales97" localSheetId="8">#REF!</definedName>
    <definedName name="sales97">#REF!</definedName>
    <definedName name="sales98" localSheetId="12">#REF!</definedName>
    <definedName name="sales98" localSheetId="1">[1]IS!$AY$7</definedName>
    <definedName name="sales98" localSheetId="4">#REF!</definedName>
    <definedName name="sales98" localSheetId="8">#REF!</definedName>
    <definedName name="sales98">#REF!</definedName>
    <definedName name="sales99" localSheetId="12">#REF!</definedName>
    <definedName name="sales99" localSheetId="1">[1]IS!$BD$7</definedName>
    <definedName name="sales99" localSheetId="4">#REF!</definedName>
    <definedName name="sales99" localSheetId="8">#REF!</definedName>
    <definedName name="sales99">#REF!</definedName>
    <definedName name="salesg" localSheetId="12">#REF!</definedName>
    <definedName name="salesg" localSheetId="1">#REF!</definedName>
    <definedName name="salesg" localSheetId="4">#REF!</definedName>
    <definedName name="salesg" localSheetId="8">#REF!</definedName>
    <definedName name="salesg">#REF!</definedName>
    <definedName name="salesg00" localSheetId="12">#REF!</definedName>
    <definedName name="salesg00" localSheetId="4">#REF!</definedName>
    <definedName name="salesg00" localSheetId="8">#REF!</definedName>
    <definedName name="salesg00">#REF!</definedName>
    <definedName name="salesg98" localSheetId="12">#REF!</definedName>
    <definedName name="salesg98" localSheetId="4">#REF!</definedName>
    <definedName name="salesg98" localSheetId="8">#REF!</definedName>
    <definedName name="salesg98">#REF!</definedName>
    <definedName name="salesg99" localSheetId="12">#REF!</definedName>
    <definedName name="salesg99" localSheetId="4">#REF!</definedName>
    <definedName name="salesg99" localSheetId="8">#REF!</definedName>
    <definedName name="salesg99">#REF!</definedName>
    <definedName name="shares" localSheetId="12">#REF!</definedName>
    <definedName name="shares" localSheetId="1">[1]IS!$BB$46</definedName>
    <definedName name="shares" localSheetId="4">#REF!</definedName>
    <definedName name="shares" localSheetId="8">#REF!</definedName>
    <definedName name="shares">#REF!</definedName>
    <definedName name="system_incomestatement">[1]IS!$A$1:$BI$158</definedName>
    <definedName name="tar" localSheetId="12">'[2]Print Controls'!#REF!</definedName>
    <definedName name="tar" localSheetId="1">'[2]Print Controls'!#REF!</definedName>
    <definedName name="tar" localSheetId="4">'[2]Print Controls'!#REF!</definedName>
    <definedName name="tar" localSheetId="8">'[2]Print Controls'!#REF!</definedName>
    <definedName name="tar" localSheetId="2">'[2]Print Controls'!#REF!</definedName>
    <definedName name="tar">'[2]Print Controls'!#REF!</definedName>
    <definedName name="target" localSheetId="12">#REF!</definedName>
    <definedName name="target" localSheetId="1">#REF!</definedName>
    <definedName name="target" localSheetId="3">#REF!</definedName>
    <definedName name="target" localSheetId="4">#REF!</definedName>
    <definedName name="target" localSheetId="8">#REF!</definedName>
    <definedName name="target" localSheetId="2">#REF!</definedName>
    <definedName name="target">#REF!</definedName>
    <definedName name="targmult" localSheetId="12">#REF!</definedName>
    <definedName name="targmult" localSheetId="1">'[1]New Template'!$F$60</definedName>
    <definedName name="targmult" localSheetId="4">#REF!</definedName>
    <definedName name="targmult" localSheetId="8">#REF!</definedName>
    <definedName name="targmult">#REF!</definedName>
    <definedName name="tax00" localSheetId="12">#REF!</definedName>
    <definedName name="tax00" localSheetId="1">[1]IS!$BI$31</definedName>
    <definedName name="tax00" localSheetId="4">#REF!</definedName>
    <definedName name="tax00" localSheetId="8">#REF!</definedName>
    <definedName name="tax00">#REF!</definedName>
    <definedName name="tech" localSheetId="12">#REF!</definedName>
    <definedName name="tech" localSheetId="1">#REF!</definedName>
    <definedName name="tech" localSheetId="4">#REF!</definedName>
    <definedName name="tech" localSheetId="8">#REF!</definedName>
    <definedName name="tech">#REF!</definedName>
    <definedName name="totala" localSheetId="12">#REF!</definedName>
    <definedName name="totala" localSheetId="1">[1]BS!$BB$21</definedName>
    <definedName name="totala" localSheetId="4">#REF!</definedName>
    <definedName name="totala" localSheetId="8">#REF!</definedName>
    <definedName name="totala">#REF!</definedName>
    <definedName name="totall" localSheetId="12">#REF!</definedName>
    <definedName name="totall" localSheetId="1">[1]BS!$BB$39</definedName>
    <definedName name="totall" localSheetId="4">#REF!</definedName>
    <definedName name="totall" localSheetId="8">#REF!</definedName>
    <definedName name="totall">#REF!</definedName>
    <definedName name="trc_CFPSGROWTH5YR" localSheetId="12">#REF!</definedName>
    <definedName name="trc_CFPSGROWTH5YR" localSheetId="1">#REF!</definedName>
    <definedName name="trc_CFPSGROWTH5YR" localSheetId="4">#REF!</definedName>
    <definedName name="trc_CFPSGROWTH5YR" localSheetId="8">#REF!</definedName>
    <definedName name="trc_CFPSGROWTH5YR">#REF!</definedName>
    <definedName name="trc_CFPSGRWPRV5YR" localSheetId="12">#REF!</definedName>
    <definedName name="trc_CFPSGRWPRV5YR" localSheetId="4">#REF!</definedName>
    <definedName name="trc_CFPSGRWPRV5YR" localSheetId="8">#REF!</definedName>
    <definedName name="trc_CFPSGRWPRV5YR">#REF!</definedName>
    <definedName name="trc_CurFY" localSheetId="12">#REF!</definedName>
    <definedName name="trc_CurFY" localSheetId="4">#REF!</definedName>
    <definedName name="trc_CurFY" localSheetId="8">#REF!</definedName>
    <definedName name="trc_CurFY">#REF!</definedName>
    <definedName name="trc_DIVGROWTH5YR" localSheetId="12">#REF!</definedName>
    <definedName name="trc_DIVGROWTH5YR" localSheetId="4">#REF!</definedName>
    <definedName name="trc_DIVGROWTH5YR" localSheetId="8">#REF!</definedName>
    <definedName name="trc_DIVGROWTH5YR">#REF!</definedName>
    <definedName name="trc_DIVGRWPRV5YR" localSheetId="12">#REF!</definedName>
    <definedName name="trc_DIVGRWPRV5YR" localSheetId="4">#REF!</definedName>
    <definedName name="trc_DIVGRWPRV5YR" localSheetId="8">#REF!</definedName>
    <definedName name="trc_DIVGRWPRV5YR">#REF!</definedName>
    <definedName name="trc_DocID" localSheetId="12">#REF!</definedName>
    <definedName name="trc_DocID" localSheetId="4">#REF!</definedName>
    <definedName name="trc_DocID" localSheetId="8">#REF!</definedName>
    <definedName name="trc_DocID">#REF!</definedName>
    <definedName name="trc_EBITDAGROWTH5YR" localSheetId="12">#REF!</definedName>
    <definedName name="trc_EBITDAGROWTH5YR" localSheetId="4">#REF!</definedName>
    <definedName name="trc_EBITDAGROWTH5YR" localSheetId="8">#REF!</definedName>
    <definedName name="trc_EBITDAGROWTH5YR">#REF!</definedName>
    <definedName name="trc_EBITDAGRWPRV5YR" localSheetId="12">#REF!</definedName>
    <definedName name="trc_EBITDAGRWPRV5YR" localSheetId="4">#REF!</definedName>
    <definedName name="trc_EBITDAGRWPRV5YR" localSheetId="8">#REF!</definedName>
    <definedName name="trc_EBITDAGRWPRV5YR">#REF!</definedName>
    <definedName name="trc_EBITNXT5" localSheetId="12">#REF!</definedName>
    <definedName name="trc_EBITNXT5" localSheetId="4">#REF!</definedName>
    <definedName name="trc_EBITNXT5" localSheetId="8">#REF!</definedName>
    <definedName name="trc_EBITNXT5">#REF!</definedName>
    <definedName name="trc_EBITPRV5" localSheetId="12">#REF!</definedName>
    <definedName name="trc_EBITPRV5" localSheetId="4">#REF!</definedName>
    <definedName name="trc_EBITPRV5" localSheetId="8">#REF!</definedName>
    <definedName name="trc_EBITPRV5">#REF!</definedName>
    <definedName name="trc_EPSGRWPRV5YR" localSheetId="12">#REF!</definedName>
    <definedName name="trc_EPSGRWPRV5YR" localSheetId="4">#REF!</definedName>
    <definedName name="trc_EPSGRWPRV5YR" localSheetId="8">#REF!</definedName>
    <definedName name="trc_EPSGRWPRV5YR">#REF!</definedName>
    <definedName name="trc_Flavor" localSheetId="12">#REF!</definedName>
    <definedName name="trc_Flavor" localSheetId="4">#REF!</definedName>
    <definedName name="trc_Flavor" localSheetId="8">#REF!</definedName>
    <definedName name="trc_Flavor">#REF!</definedName>
    <definedName name="trc_NETGROWTH5YR" localSheetId="12">#REF!</definedName>
    <definedName name="trc_NETGROWTH5YR" localSheetId="4">#REF!</definedName>
    <definedName name="trc_NETGROWTH5YR" localSheetId="8">#REF!</definedName>
    <definedName name="trc_NETGROWTH5YR">#REF!</definedName>
    <definedName name="trc_NETGRWPRV5YR" localSheetId="12">#REF!</definedName>
    <definedName name="trc_NETGRWPRV5YR" localSheetId="4">#REF!</definedName>
    <definedName name="trc_NETGRWPRV5YR" localSheetId="8">#REF!</definedName>
    <definedName name="trc_NETGRWPRV5YR">#REF!</definedName>
    <definedName name="trc_QDType" localSheetId="12">#REF!</definedName>
    <definedName name="trc_QDType" localSheetId="4">#REF!</definedName>
    <definedName name="trc_QDType" localSheetId="8">#REF!</definedName>
    <definedName name="trc_QDType">#REF!</definedName>
    <definedName name="trc_RATING" localSheetId="12">#REF!</definedName>
    <definedName name="trc_RATING" localSheetId="4">#REF!</definedName>
    <definedName name="trc_RATING" localSheetId="8">#REF!</definedName>
    <definedName name="trc_RATING">#REF!</definedName>
    <definedName name="trc_ReleaseDate" localSheetId="12">#REF!</definedName>
    <definedName name="trc_ReleaseDate" localSheetId="4">#REF!</definedName>
    <definedName name="trc_ReleaseDate" localSheetId="8">#REF!</definedName>
    <definedName name="trc_ReleaseDate">#REF!</definedName>
    <definedName name="trc_REVGROWTH5YR" localSheetId="12">#REF!</definedName>
    <definedName name="trc_REVGROWTH5YR" localSheetId="4">#REF!</definedName>
    <definedName name="trc_REVGROWTH5YR" localSheetId="8">#REF!</definedName>
    <definedName name="trc_REVGROWTH5YR">#REF!</definedName>
    <definedName name="trc_REVGRWPRV5YR" localSheetId="12">#REF!</definedName>
    <definedName name="trc_REVGRWPRV5YR" localSheetId="4">#REF!</definedName>
    <definedName name="trc_REVGRWPRV5YR" localSheetId="8">#REF!</definedName>
    <definedName name="trc_REVGRWPRV5YR">#REF!</definedName>
    <definedName name="trc_RISK" localSheetId="12">#REF!</definedName>
    <definedName name="trc_RISK" localSheetId="4">#REF!</definedName>
    <definedName name="trc_RISK" localSheetId="8">#REF!</definedName>
    <definedName name="trc_RISK">#REF!</definedName>
    <definedName name="trc_SHARESOUT" localSheetId="12">#REF!</definedName>
    <definedName name="trc_SHARESOUT" localSheetId="4">#REF!</definedName>
    <definedName name="trc_SHARESOUT" localSheetId="8">#REF!</definedName>
    <definedName name="trc_SHARESOUT">#REF!</definedName>
    <definedName name="trc_SHROUTGROWTH5YR" localSheetId="12">#REF!</definedName>
    <definedName name="trc_SHROUTGROWTH5YR" localSheetId="4">#REF!</definedName>
    <definedName name="trc_SHROUTGROWTH5YR" localSheetId="8">#REF!</definedName>
    <definedName name="trc_SHROUTGROWTH5YR">#REF!</definedName>
    <definedName name="trc_SHROUTGRWPRV5YR" localSheetId="12">#REF!</definedName>
    <definedName name="trc_SHROUTGRWPRV5YR" localSheetId="4">#REF!</definedName>
    <definedName name="trc_SHROUTGRWPRV5YR" localSheetId="8">#REF!</definedName>
    <definedName name="trc_SHROUTGRWPRV5YR">#REF!</definedName>
    <definedName name="trc_submitter" localSheetId="12">#REF!</definedName>
    <definedName name="trc_submitter" localSheetId="4">#REF!</definedName>
    <definedName name="trc_submitter" localSheetId="8">#REF!</definedName>
    <definedName name="trc_submitter">#REF!</definedName>
    <definedName name="trc_submittername" localSheetId="12">#REF!</definedName>
    <definedName name="trc_submittername" localSheetId="4">#REF!</definedName>
    <definedName name="trc_submittername" localSheetId="8">#REF!</definedName>
    <definedName name="trc_submittername">#REF!</definedName>
    <definedName name="trc_TARGET" localSheetId="12">#REF!</definedName>
    <definedName name="trc_TARGET" localSheetId="4">#REF!</definedName>
    <definedName name="trc_TARGET" localSheetId="8">#REF!</definedName>
    <definedName name="trc_TARGET">#REF!</definedName>
    <definedName name="trc_TemplateID" localSheetId="12">#REF!</definedName>
    <definedName name="trc_TemplateID" localSheetId="4">#REF!</definedName>
    <definedName name="trc_TemplateID" localSheetId="8">#REF!</definedName>
    <definedName name="trc_TemplateID">#REF!</definedName>
    <definedName name="trc_TEV" localSheetId="12">#REF!</definedName>
    <definedName name="trc_TEV" localSheetId="4">#REF!</definedName>
    <definedName name="trc_TEV" localSheetId="8">#REF!</definedName>
    <definedName name="trc_TEV">#REF!</definedName>
    <definedName name="trc_Ticker" localSheetId="12">#REF!</definedName>
    <definedName name="trc_Ticker" localSheetId="4">#REF!</definedName>
    <definedName name="trc_Ticker" localSheetId="8">#REF!</definedName>
    <definedName name="trc_Ticker">#REF!</definedName>
    <definedName name="trc_Version" localSheetId="12">#REF!</definedName>
    <definedName name="trc_Version" localSheetId="4">#REF!</definedName>
    <definedName name="trc_Version" localSheetId="8">#REF!</definedName>
    <definedName name="trc_Version">#REF!</definedName>
    <definedName name="trc_XLS_DATASHEET_ProtectDate" localSheetId="1">36881.4624884259</definedName>
    <definedName name="trc_XLS_DATASHEET_ProtectDate">36881.4996875</definedName>
    <definedName name="trc_Y1" localSheetId="12">#REF!</definedName>
    <definedName name="trc_Y1" localSheetId="4">#REF!</definedName>
    <definedName name="trc_Y1" localSheetId="8">#REF!</definedName>
    <definedName name="trc_Y1">#REF!</definedName>
    <definedName name="trc_Y1COMMONEQ" localSheetId="12">#REF!</definedName>
    <definedName name="trc_Y1COMMONEQ" localSheetId="4">#REF!</definedName>
    <definedName name="trc_Y1COMMONEQ" localSheetId="8">#REF!</definedName>
    <definedName name="trc_Y1COMMONEQ">#REF!</definedName>
    <definedName name="trc_Y1DILSHR" localSheetId="12">#REF!</definedName>
    <definedName name="trc_Y1DILSHR" localSheetId="4">#REF!</definedName>
    <definedName name="trc_Y1DILSHR" localSheetId="8">#REF!</definedName>
    <definedName name="trc_Y1DILSHR">#REF!</definedName>
    <definedName name="trc_Y1DPS" localSheetId="12">#REF!</definedName>
    <definedName name="trc_Y1DPS" localSheetId="4">#REF!</definedName>
    <definedName name="trc_Y1DPS" localSheetId="8">#REF!</definedName>
    <definedName name="trc_Y1DPS">#REF!</definedName>
    <definedName name="trc_Y1EBIT" localSheetId="12">#REF!</definedName>
    <definedName name="trc_Y1EBIT" localSheetId="4">#REF!</definedName>
    <definedName name="trc_Y1EBIT" localSheetId="8">#REF!</definedName>
    <definedName name="trc_Y1EBIT">#REF!</definedName>
    <definedName name="trc_Y1EBITDA" localSheetId="12">#REF!</definedName>
    <definedName name="trc_Y1EBITDA" localSheetId="4">#REF!</definedName>
    <definedName name="trc_Y1EBITDA" localSheetId="8">#REF!</definedName>
    <definedName name="trc_Y1EBITDA">#REF!</definedName>
    <definedName name="trc_Y1FREE_CFPS" localSheetId="12">#REF!</definedName>
    <definedName name="trc_Y1FREE_CFPS" localSheetId="4">#REF!</definedName>
    <definedName name="trc_Y1FREE_CFPS" localSheetId="8">#REF!</definedName>
    <definedName name="trc_Y1FREE_CFPS">#REF!</definedName>
    <definedName name="trc_Y1LTDEBT" localSheetId="12">#REF!</definedName>
    <definedName name="trc_Y1LTDEBT" localSheetId="4">#REF!</definedName>
    <definedName name="trc_Y1LTDEBT" localSheetId="8">#REF!</definedName>
    <definedName name="trc_Y1LTDEBT">#REF!</definedName>
    <definedName name="trc_Y1NETINC" localSheetId="12">#REF!</definedName>
    <definedName name="trc_Y1NETINC" localSheetId="4">#REF!</definedName>
    <definedName name="trc_Y1NETINC" localSheetId="8">#REF!</definedName>
    <definedName name="trc_Y1NETINC">#REF!</definedName>
    <definedName name="trc_Y1Q1" localSheetId="12">#REF!</definedName>
    <definedName name="trc_Y1Q1" localSheetId="4">#REF!</definedName>
    <definedName name="trc_Y1Q1" localSheetId="8">#REF!</definedName>
    <definedName name="trc_Y1Q1">#REF!</definedName>
    <definedName name="trc_Y1Q2" localSheetId="12">#REF!</definedName>
    <definedName name="trc_Y1Q2" localSheetId="4">#REF!</definedName>
    <definedName name="trc_Y1Q2" localSheetId="8">#REF!</definedName>
    <definedName name="trc_Y1Q2">#REF!</definedName>
    <definedName name="trc_Y1Q3" localSheetId="12">#REF!</definedName>
    <definedName name="trc_Y1Q3" localSheetId="4">#REF!</definedName>
    <definedName name="trc_Y1Q3" localSheetId="8">#REF!</definedName>
    <definedName name="trc_Y1Q3">#REF!</definedName>
    <definedName name="trc_Y1Q4" localSheetId="12">#REF!</definedName>
    <definedName name="trc_Y1Q4" localSheetId="4">#REF!</definedName>
    <definedName name="trc_Y1Q4" localSheetId="8">#REF!</definedName>
    <definedName name="trc_Y1Q4">#REF!</definedName>
    <definedName name="trc_Y1REVENUE" localSheetId="12">#REF!</definedName>
    <definedName name="trc_Y1REVENUE" localSheetId="4">#REF!</definedName>
    <definedName name="trc_Y1REVENUE" localSheetId="8">#REF!</definedName>
    <definedName name="trc_Y1REVENUE">#REF!</definedName>
    <definedName name="trc_Y1ROE" localSheetId="12">#REF!</definedName>
    <definedName name="trc_Y1ROE" localSheetId="4">#REF!</definedName>
    <definedName name="trc_Y1ROE" localSheetId="8">#REF!</definedName>
    <definedName name="trc_Y1ROE">#REF!</definedName>
    <definedName name="trc_Y1TAXRATE" localSheetId="12">#REF!</definedName>
    <definedName name="trc_Y1TAXRATE" localSheetId="4">#REF!</definedName>
    <definedName name="trc_Y1TAXRATE" localSheetId="8">#REF!</definedName>
    <definedName name="trc_Y1TAXRATE">#REF!</definedName>
    <definedName name="trc_Y1Total" localSheetId="12">#REF!</definedName>
    <definedName name="trc_Y1Total" localSheetId="4">#REF!</definedName>
    <definedName name="trc_Y1Total" localSheetId="8">#REF!</definedName>
    <definedName name="trc_Y1Total">#REF!</definedName>
    <definedName name="trc_Y2" localSheetId="12">#REF!</definedName>
    <definedName name="trc_Y2" localSheetId="4">#REF!</definedName>
    <definedName name="trc_Y2" localSheetId="8">#REF!</definedName>
    <definedName name="trc_Y2">#REF!</definedName>
    <definedName name="trc_Y2COMMONEQ" localSheetId="12">#REF!</definedName>
    <definedName name="trc_Y2COMMONEQ" localSheetId="4">#REF!</definedName>
    <definedName name="trc_Y2COMMONEQ" localSheetId="8">#REF!</definedName>
    <definedName name="trc_Y2COMMONEQ">#REF!</definedName>
    <definedName name="trc_Y2DILSHR" localSheetId="12">#REF!</definedName>
    <definedName name="trc_Y2DILSHR" localSheetId="4">#REF!</definedName>
    <definedName name="trc_Y2DILSHR" localSheetId="8">#REF!</definedName>
    <definedName name="trc_Y2DILSHR">#REF!</definedName>
    <definedName name="trc_Y2DPS" localSheetId="12">#REF!</definedName>
    <definedName name="trc_Y2DPS" localSheetId="4">#REF!</definedName>
    <definedName name="trc_Y2DPS" localSheetId="8">#REF!</definedName>
    <definedName name="trc_Y2DPS">#REF!</definedName>
    <definedName name="trc_Y2EBIT" localSheetId="12">#REF!</definedName>
    <definedName name="trc_Y2EBIT" localSheetId="4">#REF!</definedName>
    <definedName name="trc_Y2EBIT" localSheetId="8">#REF!</definedName>
    <definedName name="trc_Y2EBIT">#REF!</definedName>
    <definedName name="trc_Y2EBITDA" localSheetId="12">#REF!</definedName>
    <definedName name="trc_Y2EBITDA" localSheetId="4">#REF!</definedName>
    <definedName name="trc_Y2EBITDA" localSheetId="8">#REF!</definedName>
    <definedName name="trc_Y2EBITDA">#REF!</definedName>
    <definedName name="trc_Y2FREE_CFPS" localSheetId="12">#REF!</definedName>
    <definedName name="trc_Y2FREE_CFPS" localSheetId="4">#REF!</definedName>
    <definedName name="trc_Y2FREE_CFPS" localSheetId="8">#REF!</definedName>
    <definedName name="trc_Y2FREE_CFPS">#REF!</definedName>
    <definedName name="trc_Y2LTDEBT" localSheetId="12">#REF!</definedName>
    <definedName name="trc_Y2LTDEBT" localSheetId="4">#REF!</definedName>
    <definedName name="trc_Y2LTDEBT" localSheetId="8">#REF!</definedName>
    <definedName name="trc_Y2LTDEBT">#REF!</definedName>
    <definedName name="trc_Y2NETINC" localSheetId="12">#REF!</definedName>
    <definedName name="trc_Y2NETINC" localSheetId="4">#REF!</definedName>
    <definedName name="trc_Y2NETINC" localSheetId="8">#REF!</definedName>
    <definedName name="trc_Y2NETINC">#REF!</definedName>
    <definedName name="trc_Y2Q1" localSheetId="12">#REF!</definedName>
    <definedName name="trc_Y2Q1" localSheetId="4">#REF!</definedName>
    <definedName name="trc_Y2Q1" localSheetId="8">#REF!</definedName>
    <definedName name="trc_Y2Q1">#REF!</definedName>
    <definedName name="trc_Y2Q2" localSheetId="12">#REF!</definedName>
    <definedName name="trc_Y2Q2" localSheetId="4">#REF!</definedName>
    <definedName name="trc_Y2Q2" localSheetId="8">#REF!</definedName>
    <definedName name="trc_Y2Q2">#REF!</definedName>
    <definedName name="trc_Y2Q3" localSheetId="12">#REF!</definedName>
    <definedName name="trc_Y2Q3" localSheetId="4">#REF!</definedName>
    <definedName name="trc_Y2Q3" localSheetId="8">#REF!</definedName>
    <definedName name="trc_Y2Q3">#REF!</definedName>
    <definedName name="trc_Y2Q4" localSheetId="12">#REF!</definedName>
    <definedName name="trc_Y2Q4" localSheetId="4">#REF!</definedName>
    <definedName name="trc_Y2Q4" localSheetId="8">#REF!</definedName>
    <definedName name="trc_Y2Q4">#REF!</definedName>
    <definedName name="trc_Y2REVENUE" localSheetId="12">#REF!</definedName>
    <definedName name="trc_Y2REVENUE" localSheetId="4">#REF!</definedName>
    <definedName name="trc_Y2REVENUE" localSheetId="8">#REF!</definedName>
    <definedName name="trc_Y2REVENUE">#REF!</definedName>
    <definedName name="trc_Y2ROE" localSheetId="12">#REF!</definedName>
    <definedName name="trc_Y2ROE" localSheetId="4">#REF!</definedName>
    <definedName name="trc_Y2ROE" localSheetId="8">#REF!</definedName>
    <definedName name="trc_Y2ROE">#REF!</definedName>
    <definedName name="trc_Y2TAXRATE" localSheetId="12">#REF!</definedName>
    <definedName name="trc_Y2TAXRATE" localSheetId="4">#REF!</definedName>
    <definedName name="trc_Y2TAXRATE" localSheetId="8">#REF!</definedName>
    <definedName name="trc_Y2TAXRATE">#REF!</definedName>
    <definedName name="trc_Y2Total" localSheetId="12">#REF!</definedName>
    <definedName name="trc_Y2Total" localSheetId="4">#REF!</definedName>
    <definedName name="trc_Y2Total" localSheetId="8">#REF!</definedName>
    <definedName name="trc_Y2Total">#REF!</definedName>
    <definedName name="trc_Y3" localSheetId="12">#REF!</definedName>
    <definedName name="trc_Y3" localSheetId="4">#REF!</definedName>
    <definedName name="trc_Y3" localSheetId="8">#REF!</definedName>
    <definedName name="trc_Y3">#REF!</definedName>
    <definedName name="trc_Y3COMMONEQ" localSheetId="12">#REF!</definedName>
    <definedName name="trc_Y3COMMONEQ" localSheetId="4">#REF!</definedName>
    <definedName name="trc_Y3COMMONEQ" localSheetId="8">#REF!</definedName>
    <definedName name="trc_Y3COMMONEQ">#REF!</definedName>
    <definedName name="trc_Y3DILSHR" localSheetId="12">#REF!</definedName>
    <definedName name="trc_Y3DILSHR" localSheetId="4">#REF!</definedName>
    <definedName name="trc_Y3DILSHR" localSheetId="8">#REF!</definedName>
    <definedName name="trc_Y3DILSHR">#REF!</definedName>
    <definedName name="trc_Y3DPS" localSheetId="12">#REF!</definedName>
    <definedName name="trc_Y3DPS" localSheetId="4">#REF!</definedName>
    <definedName name="trc_Y3DPS" localSheetId="8">#REF!</definedName>
    <definedName name="trc_Y3DPS">#REF!</definedName>
    <definedName name="trc_Y3EBIT" localSheetId="12">#REF!</definedName>
    <definedName name="trc_Y3EBIT" localSheetId="4">#REF!</definedName>
    <definedName name="trc_Y3EBIT" localSheetId="8">#REF!</definedName>
    <definedName name="trc_Y3EBIT">#REF!</definedName>
    <definedName name="trc_Y3EBITDA" localSheetId="12">#REF!</definedName>
    <definedName name="trc_Y3EBITDA" localSheetId="4">#REF!</definedName>
    <definedName name="trc_Y3EBITDA" localSheetId="8">#REF!</definedName>
    <definedName name="trc_Y3EBITDA">#REF!</definedName>
    <definedName name="trc_Y3FREE_CFPS" localSheetId="12">#REF!</definedName>
    <definedName name="trc_Y3FREE_CFPS" localSheetId="4">#REF!</definedName>
    <definedName name="trc_Y3FREE_CFPS" localSheetId="8">#REF!</definedName>
    <definedName name="trc_Y3FREE_CFPS">#REF!</definedName>
    <definedName name="trc_Y3LTDEBT" localSheetId="12">#REF!</definedName>
    <definedName name="trc_Y3LTDEBT" localSheetId="4">#REF!</definedName>
    <definedName name="trc_Y3LTDEBT" localSheetId="8">#REF!</definedName>
    <definedName name="trc_Y3LTDEBT">#REF!</definedName>
    <definedName name="trc_Y3NETINC" localSheetId="12">#REF!</definedName>
    <definedName name="trc_Y3NETINC" localSheetId="4">#REF!</definedName>
    <definedName name="trc_Y3NETINC" localSheetId="8">#REF!</definedName>
    <definedName name="trc_Y3NETINC">#REF!</definedName>
    <definedName name="trc_Y3Q1" localSheetId="12">#REF!</definedName>
    <definedName name="trc_Y3Q1" localSheetId="4">#REF!</definedName>
    <definedName name="trc_Y3Q1" localSheetId="8">#REF!</definedName>
    <definedName name="trc_Y3Q1">#REF!</definedName>
    <definedName name="trc_Y3Q2" localSheetId="12">#REF!</definedName>
    <definedName name="trc_Y3Q2" localSheetId="4">#REF!</definedName>
    <definedName name="trc_Y3Q2" localSheetId="8">#REF!</definedName>
    <definedName name="trc_Y3Q2">#REF!</definedName>
    <definedName name="trc_Y3Q3" localSheetId="12">#REF!</definedName>
    <definedName name="trc_Y3Q3" localSheetId="4">#REF!</definedName>
    <definedName name="trc_Y3Q3" localSheetId="8">#REF!</definedName>
    <definedName name="trc_Y3Q3">#REF!</definedName>
    <definedName name="trc_Y3Q4" localSheetId="12">#REF!</definedName>
    <definedName name="trc_Y3Q4" localSheetId="4">#REF!</definedName>
    <definedName name="trc_Y3Q4" localSheetId="8">#REF!</definedName>
    <definedName name="trc_Y3Q4">#REF!</definedName>
    <definedName name="trc_Y3REVENUE" localSheetId="12">#REF!</definedName>
    <definedName name="trc_Y3REVENUE" localSheetId="4">#REF!</definedName>
    <definedName name="trc_Y3REVENUE" localSheetId="8">#REF!</definedName>
    <definedName name="trc_Y3REVENUE">#REF!</definedName>
    <definedName name="trc_Y3ROE" localSheetId="12">#REF!</definedName>
    <definedName name="trc_Y3ROE" localSheetId="4">#REF!</definedName>
    <definedName name="trc_Y3ROE" localSheetId="8">#REF!</definedName>
    <definedName name="trc_Y3ROE">#REF!</definedName>
    <definedName name="trc_Y3TAXRATE" localSheetId="12">#REF!</definedName>
    <definedName name="trc_Y3TAXRATE" localSheetId="4">#REF!</definedName>
    <definedName name="trc_Y3TAXRATE" localSheetId="8">#REF!</definedName>
    <definedName name="trc_Y3TAXRATE">#REF!</definedName>
    <definedName name="trc_Y3Total" localSheetId="12">#REF!</definedName>
    <definedName name="trc_Y3Total" localSheetId="4">#REF!</definedName>
    <definedName name="trc_Y3Total" localSheetId="8">#REF!</definedName>
    <definedName name="trc_Y3Total">#REF!</definedName>
    <definedName name="trc_Y4" localSheetId="12">#REF!</definedName>
    <definedName name="trc_Y4" localSheetId="4">#REF!</definedName>
    <definedName name="trc_Y4" localSheetId="8">#REF!</definedName>
    <definedName name="trc_Y4">#REF!</definedName>
    <definedName name="trc_Y4COMMONEQ" localSheetId="12">#REF!</definedName>
    <definedName name="trc_Y4COMMONEQ" localSheetId="4">#REF!</definedName>
    <definedName name="trc_Y4COMMONEQ" localSheetId="8">#REF!</definedName>
    <definedName name="trc_Y4COMMONEQ">#REF!</definedName>
    <definedName name="trc_Y4DILSHR" localSheetId="12">#REF!</definedName>
    <definedName name="trc_Y4DILSHR" localSheetId="4">#REF!</definedName>
    <definedName name="trc_Y4DILSHR" localSheetId="8">#REF!</definedName>
    <definedName name="trc_Y4DILSHR">#REF!</definedName>
    <definedName name="trc_Y4DPS" localSheetId="12">#REF!</definedName>
    <definedName name="trc_Y4DPS" localSheetId="4">#REF!</definedName>
    <definedName name="trc_Y4DPS" localSheetId="8">#REF!</definedName>
    <definedName name="trc_Y4DPS">#REF!</definedName>
    <definedName name="trc_Y4EBIT" localSheetId="12">#REF!</definedName>
    <definedName name="trc_Y4EBIT" localSheetId="4">#REF!</definedName>
    <definedName name="trc_Y4EBIT" localSheetId="8">#REF!</definedName>
    <definedName name="trc_Y4EBIT">#REF!</definedName>
    <definedName name="trc_Y4EBITDA" localSheetId="12">#REF!</definedName>
    <definedName name="trc_Y4EBITDA" localSheetId="4">#REF!</definedName>
    <definedName name="trc_Y4EBITDA" localSheetId="8">#REF!</definedName>
    <definedName name="trc_Y4EBITDA">#REF!</definedName>
    <definedName name="trc_Y4FREE_CFPS" localSheetId="12">#REF!</definedName>
    <definedName name="trc_Y4FREE_CFPS" localSheetId="4">#REF!</definedName>
    <definedName name="trc_Y4FREE_CFPS" localSheetId="8">#REF!</definedName>
    <definedName name="trc_Y4FREE_CFPS">#REF!</definedName>
    <definedName name="trc_Y4LTDEBT" localSheetId="12">#REF!</definedName>
    <definedName name="trc_Y4LTDEBT" localSheetId="4">#REF!</definedName>
    <definedName name="trc_Y4LTDEBT" localSheetId="8">#REF!</definedName>
    <definedName name="trc_Y4LTDEBT">#REF!</definedName>
    <definedName name="trc_Y4NETINC" localSheetId="12">#REF!</definedName>
    <definedName name="trc_Y4NETINC" localSheetId="4">#REF!</definedName>
    <definedName name="trc_Y4NETINC" localSheetId="8">#REF!</definedName>
    <definedName name="trc_Y4NETINC">#REF!</definedName>
    <definedName name="trc_Y4Q1" localSheetId="12">#REF!</definedName>
    <definedName name="trc_Y4Q1" localSheetId="4">#REF!</definedName>
    <definedName name="trc_Y4Q1" localSheetId="8">#REF!</definedName>
    <definedName name="trc_Y4Q1">#REF!</definedName>
    <definedName name="trc_Y4Q2" localSheetId="12">#REF!</definedName>
    <definedName name="trc_Y4Q2" localSheetId="4">#REF!</definedName>
    <definedName name="trc_Y4Q2" localSheetId="8">#REF!</definedName>
    <definedName name="trc_Y4Q2">#REF!</definedName>
    <definedName name="trc_Y4Q3" localSheetId="12">#REF!</definedName>
    <definedName name="trc_Y4Q3" localSheetId="4">#REF!</definedName>
    <definedName name="trc_Y4Q3" localSheetId="8">#REF!</definedName>
    <definedName name="trc_Y4Q3">#REF!</definedName>
    <definedName name="trc_Y4Q4" localSheetId="12">#REF!</definedName>
    <definedName name="trc_Y4Q4" localSheetId="4">#REF!</definedName>
    <definedName name="trc_Y4Q4" localSheetId="8">#REF!</definedName>
    <definedName name="trc_Y4Q4">#REF!</definedName>
    <definedName name="trc_Y4REVENUE" localSheetId="12">#REF!</definedName>
    <definedName name="trc_Y4REVENUE" localSheetId="4">#REF!</definedName>
    <definedName name="trc_Y4REVENUE" localSheetId="8">#REF!</definedName>
    <definedName name="trc_Y4REVENUE">#REF!</definedName>
    <definedName name="trc_Y4ROE" localSheetId="12">#REF!</definedName>
    <definedName name="trc_Y4ROE" localSheetId="4">#REF!</definedName>
    <definedName name="trc_Y4ROE" localSheetId="8">#REF!</definedName>
    <definedName name="trc_Y4ROE">#REF!</definedName>
    <definedName name="trc_Y4TAXRATE" localSheetId="12">#REF!</definedName>
    <definedName name="trc_Y4TAXRATE" localSheetId="4">#REF!</definedName>
    <definedName name="trc_Y4TAXRATE" localSheetId="8">#REF!</definedName>
    <definedName name="trc_Y4TAXRATE">#REF!</definedName>
    <definedName name="trc_Y4Total" localSheetId="12">#REF!</definedName>
    <definedName name="trc_Y4Total" localSheetId="4">#REF!</definedName>
    <definedName name="trc_Y4Total" localSheetId="8">#REF!</definedName>
    <definedName name="trc_Y4Total">#REF!</definedName>
    <definedName name="VN_DCF" localSheetId="12">#REF!</definedName>
    <definedName name="VN_DCF" localSheetId="4">#REF!</definedName>
    <definedName name="VN_DCF" localSheetId="8">#REF!</definedName>
    <definedName name="VN_DCF">#REF!</definedName>
    <definedName name="Volume">OFFSET([3]Cover!$AP$8,,,COUNTA([3]Cover!$AP$8:$AP$62),1)</definedName>
    <definedName name="Working_Capital_Assumptions" localSheetId="12">#REF!</definedName>
    <definedName name="Working_Capital_Assumptions" localSheetId="1">#REF!</definedName>
    <definedName name="Working_Capital_Assumptions" localSheetId="3">#REF!</definedName>
    <definedName name="Working_Capital_Assumptions" localSheetId="4">#REF!</definedName>
    <definedName name="Working_Capital_Assumptions" localSheetId="8">#REF!</definedName>
    <definedName name="Working_Capital_Assumptions" localSheetId="2">#REF!</definedName>
    <definedName name="Working_Capital_Assumptions">#REF!</definedName>
    <definedName name="wrn.Fax." localSheetId="1" hidden="1">{"fax (BS)",#N/A,FALSE,"BS";"fax (CF)",#N/A,FALSE,"CF";"fax (seg)",#N/A,FALSE,"Seg";"fax (telecomm)",#N/A,FALSE,"telecomm";"fax (infodisplay)",#N/A,FALSE,"infodisplay";"fax (am)",#N/A,FALSE,"AM";"fax (is)",#N/A,FALSE,"IS"}</definedName>
    <definedName name="wrn.Fax." localSheetId="3" hidden="1">{"fax (BS)",#N/A,FALSE,"BS";"fax (CF)",#N/A,FALSE,"CF";"fax (seg)",#N/A,FALSE,"Seg";"fax (telecomm)",#N/A,FALSE,"telecomm";"fax (infodisplay)",#N/A,FALSE,"infodisplay";"fax (am)",#N/A,FALSE,"AM";"fax (is)",#N/A,FALSE,"IS"}</definedName>
    <definedName name="wrn.Fax." localSheetId="4" hidden="1">{"fax (BS)",#N/A,FALSE,"BS";"fax (CF)",#N/A,FALSE,"CF";"fax (seg)",#N/A,FALSE,"Seg";"fax (telecomm)",#N/A,FALSE,"telecomm";"fax (infodisplay)",#N/A,FALSE,"infodisplay";"fax (am)",#N/A,FALSE,"AM";"fax (is)",#N/A,FALSE,"IS"}</definedName>
    <definedName name="wrn.Fax." localSheetId="5" hidden="1">{"fax (BS)",#N/A,FALSE,"BS";"fax (CF)",#N/A,FALSE,"CF";"fax (seg)",#N/A,FALSE,"Seg";"fax (telecomm)",#N/A,FALSE,"telecomm";"fax (infodisplay)",#N/A,FALSE,"infodisplay";"fax (am)",#N/A,FALSE,"AM";"fax (is)",#N/A,FALSE,"IS"}</definedName>
    <definedName name="wrn.Fax." localSheetId="2" hidden="1">{"fax (BS)",#N/A,FALSE,"BS";"fax (CF)",#N/A,FALSE,"CF";"fax (seg)",#N/A,FALSE,"Seg";"fax (telecomm)",#N/A,FALSE,"telecomm";"fax (infodisplay)",#N/A,FALSE,"infodisplay";"fax (am)",#N/A,FALSE,"AM";"fax (is)",#N/A,FALSE,"IS"}</definedName>
    <definedName name="wrn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.TP." localSheetId="1" hidden="1">{"Page 1",#N/A,TRUE,"Calculations";"Page 2",#N/A,TRUE,"Calculations";"Page 3",#N/A,TRUE,"Calculations";"Page 4",#N/A,TRUE,"Calculations";"Page 6",#N/A,TRUE,"Calculations";"Page 7",#N/A,TRUE,"Calculations";"Page 8",#N/A,TRUE,"Calculations";"Page 9",#N/A,TRUE,"Calculations";"Page 10",#N/A,TRUE,"Calculations";"Page 11",#N/A,TRUE,"Calculations";"Page 12",#N/A,TRUE,"Calculations";"Page 13",#N/A,TRUE,"Calculations";"Page 14",#N/A,TRUE,"Calculations"}</definedName>
    <definedName name="wrn.TP." localSheetId="3" hidden="1">{"Page 1",#N/A,TRUE,"Calculations";"Page 2",#N/A,TRUE,"Calculations";"Page 3",#N/A,TRUE,"Calculations";"Page 4",#N/A,TRUE,"Calculations";"Page 6",#N/A,TRUE,"Calculations";"Page 7",#N/A,TRUE,"Calculations";"Page 8",#N/A,TRUE,"Calculations";"Page 9",#N/A,TRUE,"Calculations";"Page 10",#N/A,TRUE,"Calculations";"Page 11",#N/A,TRUE,"Calculations";"Page 12",#N/A,TRUE,"Calculations";"Page 13",#N/A,TRUE,"Calculations";"Page 14",#N/A,TRUE,"Calculations"}</definedName>
    <definedName name="wrn.TP." localSheetId="4" hidden="1">{"Page 1",#N/A,TRUE,"Calculations";"Page 2",#N/A,TRUE,"Calculations";"Page 3",#N/A,TRUE,"Calculations";"Page 4",#N/A,TRUE,"Calculations";"Page 6",#N/A,TRUE,"Calculations";"Page 7",#N/A,TRUE,"Calculations";"Page 8",#N/A,TRUE,"Calculations";"Page 9",#N/A,TRUE,"Calculations";"Page 10",#N/A,TRUE,"Calculations";"Page 11",#N/A,TRUE,"Calculations";"Page 12",#N/A,TRUE,"Calculations";"Page 13",#N/A,TRUE,"Calculations";"Page 14",#N/A,TRUE,"Calculations"}</definedName>
    <definedName name="wrn.TP." localSheetId="5" hidden="1">{"Page 1",#N/A,TRUE,"Calculations";"Page 2",#N/A,TRUE,"Calculations";"Page 3",#N/A,TRUE,"Calculations";"Page 4",#N/A,TRUE,"Calculations";"Page 6",#N/A,TRUE,"Calculations";"Page 7",#N/A,TRUE,"Calculations";"Page 8",#N/A,TRUE,"Calculations";"Page 9",#N/A,TRUE,"Calculations";"Page 10",#N/A,TRUE,"Calculations";"Page 11",#N/A,TRUE,"Calculations";"Page 12",#N/A,TRUE,"Calculations";"Page 13",#N/A,TRUE,"Calculations";"Page 14",#N/A,TRUE,"Calculations"}</definedName>
    <definedName name="wrn.TP." localSheetId="2" hidden="1">{"Page 1",#N/A,TRUE,"Calculations";"Page 2",#N/A,TRUE,"Calculations";"Page 3",#N/A,TRUE,"Calculations";"Page 4",#N/A,TRUE,"Calculations";"Page 6",#N/A,TRUE,"Calculations";"Page 7",#N/A,TRUE,"Calculations";"Page 8",#N/A,TRUE,"Calculations";"Page 9",#N/A,TRUE,"Calculations";"Page 10",#N/A,TRUE,"Calculations";"Page 11",#N/A,TRUE,"Calculations";"Page 12",#N/A,TRUE,"Calculations";"Page 13",#N/A,TRUE,"Calculations";"Page 14",#N/A,TRUE,"Calculations"}</definedName>
    <definedName name="wrn.TP." hidden="1">{"Page 1",#N/A,TRUE,"Calculations";"Page 2",#N/A,TRUE,"Calculations";"Page 3",#N/A,TRUE,"Calculations";"Page 4",#N/A,TRUE,"Calculations";"Page 6",#N/A,TRUE,"Calculations";"Page 7",#N/A,TRUE,"Calculations";"Page 8",#N/A,TRUE,"Calculations";"Page 9",#N/A,TRUE,"Calculations";"Page 10",#N/A,TRUE,"Calculations";"Page 11",#N/A,TRUE,"Calculations";"Page 12",#N/A,TRUE,"Calculations";"Page 13",#N/A,TRUE,"Calculations";"Page 14",#N/A,TRUE,"Calculations"}</definedName>
    <definedName name="YOY" localSheetId="12">IF(ISBLANK(#REF!),"         NM",#REF!/#REF!-1)</definedName>
    <definedName name="YOY" localSheetId="1">IF(ISBLANK(#REF!),"         NM",#REF!/#REF!-1)</definedName>
    <definedName name="YOY" localSheetId="4">IF(ISBLANK(#REF!),"         NM",#REF!/#REF!-1)</definedName>
    <definedName name="YOY" localSheetId="8">IF(ISBLANK(#REF!),"         NM",#REF!/#REF!-1)</definedName>
    <definedName name="YOY">IF(ISBLANK(#REF!),"         NM",#REF!/#REF!-1)</definedName>
    <definedName name="YOYM" localSheetId="12">IF(#REF!=0,"NM",((#REF!/#REF!)-1))</definedName>
    <definedName name="YOYM" localSheetId="4">IF(#REF!=0,"NM",((#REF!/#REF!)-1))</definedName>
    <definedName name="YOYM" localSheetId="8">IF(#REF!=0,"NM",((#REF!/#REF!)-1))</definedName>
    <definedName name="YOYM">IF(#REF!=0,"NM",((#REF!/#REF!)-1))</definedName>
    <definedName name="YSUM" localSheetId="12">SUM(#REF!)</definedName>
    <definedName name="YSUM" localSheetId="4">SUM(#REF!)</definedName>
    <definedName name="YSUM" localSheetId="8">SUM(#REF!)</definedName>
    <definedName name="YSUM">SUM(#REF!)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26" i="16" l="1"/>
  <c r="BQ46" i="5"/>
  <c r="BS9" i="14" l="1"/>
  <c r="BS8" i="14"/>
  <c r="BS11" i="14"/>
  <c r="BS44" i="19"/>
  <c r="BS43" i="19"/>
  <c r="BS46" i="19"/>
  <c r="Z3" i="24"/>
  <c r="V3" i="24"/>
  <c r="BT78" i="16" l="1"/>
  <c r="BT68" i="16"/>
  <c r="BT65" i="16"/>
  <c r="BT79" i="16"/>
  <c r="BT25" i="12"/>
  <c r="BT113" i="16"/>
  <c r="BT43" i="8"/>
  <c r="BT39" i="8"/>
  <c r="BT37" i="8"/>
  <c r="BT35" i="8"/>
  <c r="BT30" i="8"/>
  <c r="BT29" i="8"/>
  <c r="BT28" i="8"/>
  <c r="BT27" i="8"/>
  <c r="BT21" i="8"/>
  <c r="BT20" i="8"/>
  <c r="BT19" i="8"/>
  <c r="BT18" i="8"/>
  <c r="BT17" i="8"/>
  <c r="BT16" i="8"/>
  <c r="BT15" i="8"/>
  <c r="BT14" i="8"/>
  <c r="BT10" i="8"/>
  <c r="BT9" i="8"/>
  <c r="BT8" i="8"/>
  <c r="BT7" i="8"/>
  <c r="BT62" i="5"/>
  <c r="BV62" i="5" s="1"/>
  <c r="BW62" i="5" s="1"/>
  <c r="BX62" i="5" s="1"/>
  <c r="BT53" i="5"/>
  <c r="BT31" i="5"/>
  <c r="BT21" i="5"/>
  <c r="BT26" i="5"/>
  <c r="BT14" i="5"/>
  <c r="BT18" i="5" s="1"/>
  <c r="BT47" i="5"/>
  <c r="BV47" i="5" s="1"/>
  <c r="BT46" i="5"/>
  <c r="BV46" i="5" s="1"/>
  <c r="BW46" i="5" s="1"/>
  <c r="BX46" i="5" s="1"/>
  <c r="BY46" i="5" s="1"/>
  <c r="BT9" i="5"/>
  <c r="BT47" i="12"/>
  <c r="BT12" i="12"/>
  <c r="BT14" i="12"/>
  <c r="BT15" i="12"/>
  <c r="BT16" i="12"/>
  <c r="BT16" i="5"/>
  <c r="BY62" i="5" l="1"/>
  <c r="G34" i="7"/>
  <c r="G33" i="7"/>
  <c r="G6" i="7"/>
  <c r="D6" i="7"/>
  <c r="G26" i="25" l="1"/>
  <c r="G16" i="25"/>
  <c r="D10" i="6" l="1"/>
  <c r="D13" i="6"/>
  <c r="BS35" i="12" l="1"/>
  <c r="BS79" i="16"/>
  <c r="BS96" i="8" s="1"/>
  <c r="BS78" i="16"/>
  <c r="BS86" i="8" s="1"/>
  <c r="BS104" i="8"/>
  <c r="BS70" i="8"/>
  <c r="BS117" i="8"/>
  <c r="BS25" i="12" l="1"/>
  <c r="BS43" i="8"/>
  <c r="BS39" i="8"/>
  <c r="BS37" i="8"/>
  <c r="BS35" i="8"/>
  <c r="BS30" i="8"/>
  <c r="BS29" i="8"/>
  <c r="BS116" i="8" s="1"/>
  <c r="BS28" i="8"/>
  <c r="BS110" i="8" s="1"/>
  <c r="BS27" i="8"/>
  <c r="BS103" i="8" s="1"/>
  <c r="BS21" i="8"/>
  <c r="BS20" i="8"/>
  <c r="BS19" i="8"/>
  <c r="BS18" i="8"/>
  <c r="BS17" i="8"/>
  <c r="BS16" i="8"/>
  <c r="BS15" i="8"/>
  <c r="BS14" i="8"/>
  <c r="BS10" i="8"/>
  <c r="BS76" i="8" s="1"/>
  <c r="BS9" i="8"/>
  <c r="BS69" i="8" s="1"/>
  <c r="BS8" i="8"/>
  <c r="BS7" i="8"/>
  <c r="BS68" i="16"/>
  <c r="BS65" i="16"/>
  <c r="BS113" i="16"/>
  <c r="BS89" i="16" s="1"/>
  <c r="BS53" i="5"/>
  <c r="BS31" i="5"/>
  <c r="BT34" i="5" s="1"/>
  <c r="BS26" i="5"/>
  <c r="BT29" i="5" s="1"/>
  <c r="BS21" i="5"/>
  <c r="BT24" i="5" s="1"/>
  <c r="BS14" i="5"/>
  <c r="BS62" i="5"/>
  <c r="BS61" i="8" s="1"/>
  <c r="BS47" i="5"/>
  <c r="BS46" i="5"/>
  <c r="BS45" i="5"/>
  <c r="BS9" i="5"/>
  <c r="BS58" i="8" s="1"/>
  <c r="BS71" i="8" s="1"/>
  <c r="BS77" i="12" l="1"/>
  <c r="BS16" i="5"/>
  <c r="BS59" i="8"/>
  <c r="BS105" i="8" s="1"/>
  <c r="BS123" i="8"/>
  <c r="BS129" i="8" s="1"/>
  <c r="BS32" i="5"/>
  <c r="BS27" i="5"/>
  <c r="BS37" i="5"/>
  <c r="BS22" i="5"/>
  <c r="BS18" i="5"/>
  <c r="BS41" i="5" l="1"/>
  <c r="BS60" i="8"/>
  <c r="BS38" i="5"/>
  <c r="BS78" i="8" l="1"/>
  <c r="BS112" i="8"/>
  <c r="BS42" i="5"/>
  <c r="BS93" i="12" s="1"/>
  <c r="BS90" i="12"/>
  <c r="Q29" i="25" l="1"/>
  <c r="M29" i="25"/>
  <c r="BM9" i="14" l="1"/>
  <c r="BM8" i="14"/>
  <c r="BR9" i="14"/>
  <c r="BR8" i="14"/>
  <c r="BR44" i="19"/>
  <c r="BR43" i="19"/>
  <c r="BR46" i="19" l="1"/>
  <c r="BR35" i="12" l="1"/>
  <c r="BR43" i="8"/>
  <c r="BR39" i="8"/>
  <c r="BR37" i="8"/>
  <c r="BR35" i="8"/>
  <c r="BS127" i="8" s="1"/>
  <c r="BR30" i="8"/>
  <c r="BR29" i="8"/>
  <c r="BR116" i="8" s="1"/>
  <c r="BR28" i="8"/>
  <c r="BR110" i="8" s="1"/>
  <c r="BS114" i="8" s="1"/>
  <c r="BR27" i="8"/>
  <c r="BR103" i="8" s="1"/>
  <c r="BS107" i="8" s="1"/>
  <c r="BR21" i="8"/>
  <c r="BR20" i="8"/>
  <c r="BR19" i="8"/>
  <c r="BR18" i="8"/>
  <c r="BS93" i="8" s="1"/>
  <c r="BS97" i="8" s="1"/>
  <c r="BR17" i="8"/>
  <c r="BR16" i="8"/>
  <c r="BR15" i="8"/>
  <c r="BS82" i="8" s="1"/>
  <c r="BS87" i="8" s="1"/>
  <c r="BR14" i="8"/>
  <c r="BR10" i="8"/>
  <c r="BR76" i="8" s="1"/>
  <c r="BS80" i="8" s="1"/>
  <c r="BR9" i="8"/>
  <c r="BR69" i="8" s="1"/>
  <c r="BS73" i="8" s="1"/>
  <c r="BR8" i="8"/>
  <c r="BR7" i="8"/>
  <c r="BR78" i="16"/>
  <c r="BR86" i="8" s="1"/>
  <c r="BR68" i="16"/>
  <c r="BR64" i="16"/>
  <c r="BR113" i="16" s="1"/>
  <c r="BS115" i="16" s="1"/>
  <c r="BR65" i="16"/>
  <c r="BR79" i="16" s="1"/>
  <c r="BR96" i="8" s="1"/>
  <c r="BR53" i="5"/>
  <c r="BR31" i="5"/>
  <c r="BR26" i="5"/>
  <c r="BR21" i="5"/>
  <c r="BR14" i="5"/>
  <c r="BR62" i="5"/>
  <c r="BR61" i="8" s="1"/>
  <c r="BR47" i="5"/>
  <c r="BR46" i="5"/>
  <c r="BR45" i="5"/>
  <c r="BR9" i="5"/>
  <c r="BS11" i="5" s="1"/>
  <c r="BO69" i="5"/>
  <c r="BP69" i="5" s="1"/>
  <c r="BQ69" i="5"/>
  <c r="BR70" i="8"/>
  <c r="BR104" i="8"/>
  <c r="BR117" i="8"/>
  <c r="BR58" i="8" l="1"/>
  <c r="BR18" i="5"/>
  <c r="BR59" i="8"/>
  <c r="BR105" i="8" s="1"/>
  <c r="BR22" i="5"/>
  <c r="BS24" i="5"/>
  <c r="BS29" i="5"/>
  <c r="BS34" i="5"/>
  <c r="BR123" i="8"/>
  <c r="BR129" i="8"/>
  <c r="BR71" i="8"/>
  <c r="BR32" i="5"/>
  <c r="BR27" i="5"/>
  <c r="BR16" i="5"/>
  <c r="BZ17" i="6" l="1"/>
  <c r="CE59" i="16"/>
  <c r="CE32" i="16"/>
  <c r="CE5" i="16"/>
  <c r="CE60" i="16" s="1"/>
  <c r="CD5" i="16"/>
  <c r="CD60" i="16" s="1"/>
  <c r="CC5" i="16"/>
  <c r="CC33" i="16" s="1"/>
  <c r="CB5" i="16"/>
  <c r="CB33" i="16" s="1"/>
  <c r="CA5" i="16"/>
  <c r="CA60" i="16" s="1"/>
  <c r="CA4" i="16"/>
  <c r="CA59" i="16" s="1"/>
  <c r="CE132" i="8"/>
  <c r="CE66" i="8"/>
  <c r="CE64" i="8"/>
  <c r="CE48" i="8"/>
  <c r="CD48" i="8"/>
  <c r="CC48" i="8"/>
  <c r="CB48" i="8"/>
  <c r="CA48" i="8"/>
  <c r="CE5" i="8"/>
  <c r="CE5" i="12" s="1"/>
  <c r="CE56" i="12"/>
  <c r="CE52" i="12"/>
  <c r="CE51" i="12"/>
  <c r="CD50" i="12"/>
  <c r="CC50" i="12"/>
  <c r="CB50" i="12"/>
  <c r="CA50" i="12"/>
  <c r="CD49" i="12"/>
  <c r="CC49" i="12"/>
  <c r="CB49" i="12"/>
  <c r="CA49" i="12"/>
  <c r="CD48" i="12"/>
  <c r="CC48" i="12"/>
  <c r="CB48" i="12"/>
  <c r="CA48" i="12"/>
  <c r="CD47" i="12"/>
  <c r="CD66" i="12" s="1"/>
  <c r="CC47" i="12"/>
  <c r="CC66" i="12" s="1"/>
  <c r="CB47" i="12"/>
  <c r="CB66" i="12" s="1"/>
  <c r="CA47" i="12"/>
  <c r="CA66" i="12" s="1"/>
  <c r="CD46" i="12"/>
  <c r="CC46" i="12"/>
  <c r="CB46" i="12"/>
  <c r="CA46" i="12"/>
  <c r="CD45" i="12"/>
  <c r="CC45" i="12"/>
  <c r="CB45" i="12"/>
  <c r="CA45" i="12"/>
  <c r="CD44" i="12"/>
  <c r="CC44" i="12"/>
  <c r="CB44" i="12"/>
  <c r="CA44" i="12"/>
  <c r="CD43" i="12"/>
  <c r="CC43" i="12"/>
  <c r="CB43" i="12"/>
  <c r="CA43" i="12"/>
  <c r="CD42" i="12"/>
  <c r="CC42" i="12"/>
  <c r="CB42" i="12"/>
  <c r="CA42" i="12"/>
  <c r="CE41" i="12"/>
  <c r="CD36" i="12"/>
  <c r="CC36" i="12"/>
  <c r="CB36" i="12"/>
  <c r="CA36" i="12"/>
  <c r="CE34" i="12"/>
  <c r="CE33" i="12"/>
  <c r="CD31" i="12"/>
  <c r="CC31" i="12"/>
  <c r="CB31" i="12"/>
  <c r="CA31" i="12"/>
  <c r="CD30" i="12"/>
  <c r="CC30" i="12"/>
  <c r="CB30" i="12"/>
  <c r="CA30" i="12"/>
  <c r="CE16" i="12"/>
  <c r="CE15" i="12"/>
  <c r="CE14" i="12"/>
  <c r="CD13" i="12"/>
  <c r="CC13" i="12"/>
  <c r="CB13" i="12"/>
  <c r="CA13" i="12"/>
  <c r="CE12" i="12"/>
  <c r="CD10" i="12"/>
  <c r="CC10" i="12"/>
  <c r="CB10" i="12"/>
  <c r="CA10" i="12"/>
  <c r="CD9" i="12"/>
  <c r="CC9" i="12"/>
  <c r="CB9" i="12"/>
  <c r="CA9" i="12"/>
  <c r="CD5" i="12"/>
  <c r="CC5" i="12"/>
  <c r="CB5" i="12"/>
  <c r="CA5" i="12"/>
  <c r="CA104" i="8"/>
  <c r="CB70" i="8"/>
  <c r="CB117" i="8"/>
  <c r="CB104" i="8"/>
  <c r="CE104" i="8"/>
  <c r="CC70" i="8"/>
  <c r="CD70" i="8"/>
  <c r="CC104" i="8"/>
  <c r="CD104" i="8"/>
  <c r="CE70" i="8"/>
  <c r="CA70" i="8"/>
  <c r="CE117" i="8"/>
  <c r="CA117" i="8"/>
  <c r="CE101" i="8"/>
  <c r="CD54" i="12" l="1"/>
  <c r="CE46" i="12"/>
  <c r="CE43" i="12"/>
  <c r="CA33" i="16"/>
  <c r="CD33" i="16"/>
  <c r="CE13" i="12"/>
  <c r="CE45" i="12"/>
  <c r="CE49" i="12"/>
  <c r="CB60" i="16"/>
  <c r="CE9" i="12"/>
  <c r="CE31" i="12"/>
  <c r="CE36" i="12"/>
  <c r="CC60" i="16"/>
  <c r="CE10" i="12"/>
  <c r="CE42" i="12"/>
  <c r="CE44" i="12"/>
  <c r="CE50" i="12"/>
  <c r="CE30" i="12"/>
  <c r="CB54" i="12"/>
  <c r="CE48" i="12"/>
  <c r="CC54" i="12"/>
  <c r="CE33" i="16"/>
  <c r="CA32" i="16"/>
  <c r="CA54" i="12"/>
  <c r="CE47" i="12"/>
  <c r="CE66" i="12" s="1"/>
  <c r="CE191" i="5"/>
  <c r="CD191" i="5"/>
  <c r="CC191" i="5"/>
  <c r="CB191" i="5"/>
  <c r="CA191" i="5"/>
  <c r="CE190" i="5"/>
  <c r="CA190" i="5"/>
  <c r="CE135" i="5"/>
  <c r="CD135" i="5"/>
  <c r="CC135" i="5"/>
  <c r="CB135" i="5"/>
  <c r="CA135" i="5"/>
  <c r="CE134" i="5"/>
  <c r="CA134" i="5"/>
  <c r="CE85" i="5"/>
  <c r="CD85" i="5"/>
  <c r="CC85" i="5"/>
  <c r="CB85" i="5"/>
  <c r="CA85" i="5"/>
  <c r="CE84" i="5"/>
  <c r="CA84" i="5"/>
  <c r="CE54" i="12" l="1"/>
  <c r="BL45" i="5" l="1"/>
  <c r="BM45" i="5"/>
  <c r="BN45" i="5"/>
  <c r="BO45" i="5"/>
  <c r="D32" i="7" l="1"/>
  <c r="BQ9" i="5"/>
  <c r="BV9" i="5" s="1"/>
  <c r="L27" i="25" l="1"/>
  <c r="BR11" i="5"/>
  <c r="N27" i="25"/>
  <c r="BQ188" i="16"/>
  <c r="BQ139" i="16"/>
  <c r="BQ138" i="16"/>
  <c r="BQ137" i="16"/>
  <c r="BQ136" i="16"/>
  <c r="BQ164" i="16" s="1"/>
  <c r="BQ44" i="19"/>
  <c r="BR56" i="19" s="1"/>
  <c r="BQ43" i="19"/>
  <c r="BW62" i="19"/>
  <c r="BY61" i="19"/>
  <c r="BX61" i="19"/>
  <c r="BW61" i="19"/>
  <c r="BW56" i="19"/>
  <c r="BY55" i="19"/>
  <c r="BX55" i="19"/>
  <c r="BW55" i="19"/>
  <c r="BV55" i="19"/>
  <c r="BZ52" i="19"/>
  <c r="BW46" i="19"/>
  <c r="BV46" i="19"/>
  <c r="BY62" i="19"/>
  <c r="BV56" i="19"/>
  <c r="BZ43" i="19"/>
  <c r="BZ41" i="19"/>
  <c r="BY41" i="19"/>
  <c r="BX41" i="19"/>
  <c r="BW41" i="19"/>
  <c r="BV41" i="19"/>
  <c r="BQ69" i="19"/>
  <c r="BU52" i="19"/>
  <c r="BS55" i="19"/>
  <c r="BU41" i="19"/>
  <c r="BT41" i="19"/>
  <c r="BS41" i="19"/>
  <c r="BR41" i="19"/>
  <c r="BQ41" i="19"/>
  <c r="BQ9" i="14"/>
  <c r="BQ8" i="14"/>
  <c r="BQ61" i="19" l="1"/>
  <c r="BR55" i="19"/>
  <c r="BQ147" i="16"/>
  <c r="O27" i="25"/>
  <c r="BW64" i="19"/>
  <c r="BQ146" i="16"/>
  <c r="BV61" i="19"/>
  <c r="BQ49" i="19"/>
  <c r="BX62" i="19"/>
  <c r="BZ44" i="19"/>
  <c r="BX46" i="19"/>
  <c r="BX56" i="19"/>
  <c r="BY56" i="19"/>
  <c r="BW58" i="19"/>
  <c r="BV62" i="19"/>
  <c r="BY46" i="19"/>
  <c r="BS56" i="19"/>
  <c r="BT55" i="19"/>
  <c r="BT46" i="19"/>
  <c r="BV58" i="19" s="1"/>
  <c r="BU43" i="19"/>
  <c r="BZ61" i="19" s="1"/>
  <c r="BT56" i="19"/>
  <c r="BW15" i="14"/>
  <c r="BV15" i="14"/>
  <c r="BW14" i="14"/>
  <c r="BV14" i="14"/>
  <c r="BW21" i="14"/>
  <c r="BV21" i="14"/>
  <c r="BW20" i="14"/>
  <c r="BV20" i="14"/>
  <c r="BZ29" i="14"/>
  <c r="BW11" i="14"/>
  <c r="BV11" i="14"/>
  <c r="BX20" i="14"/>
  <c r="BZ6" i="14"/>
  <c r="BY6" i="14"/>
  <c r="BX6" i="14"/>
  <c r="BW6" i="14"/>
  <c r="BV6" i="14"/>
  <c r="BQ34" i="14"/>
  <c r="BQ26" i="14" s="1"/>
  <c r="BR15" i="14"/>
  <c r="BQ15" i="14"/>
  <c r="BR14" i="14"/>
  <c r="BQ14" i="14"/>
  <c r="BR21" i="14"/>
  <c r="BR20" i="14"/>
  <c r="BU29" i="14"/>
  <c r="BR11" i="14"/>
  <c r="BQ11" i="14"/>
  <c r="BU11" i="14"/>
  <c r="BS20" i="14"/>
  <c r="BU6" i="14"/>
  <c r="BT6" i="14"/>
  <c r="BS6" i="14"/>
  <c r="BR6" i="14"/>
  <c r="BQ6" i="14"/>
  <c r="BY50" i="12"/>
  <c r="BX50" i="12"/>
  <c r="BW50" i="12"/>
  <c r="BV50" i="12"/>
  <c r="BY49" i="12"/>
  <c r="BX49" i="12"/>
  <c r="BW49" i="12"/>
  <c r="BV49" i="12"/>
  <c r="BY48" i="12"/>
  <c r="BX48" i="12"/>
  <c r="BW48" i="12"/>
  <c r="BV48" i="12"/>
  <c r="BY47" i="12"/>
  <c r="BX47" i="12"/>
  <c r="BW47" i="12"/>
  <c r="BV47" i="12"/>
  <c r="BY46" i="12"/>
  <c r="BX46" i="12"/>
  <c r="BW46" i="12"/>
  <c r="BV46" i="12"/>
  <c r="BY45" i="12"/>
  <c r="BX45" i="12"/>
  <c r="BW45" i="12"/>
  <c r="BV45" i="12"/>
  <c r="BY44" i="12"/>
  <c r="BX44" i="12"/>
  <c r="BW44" i="12"/>
  <c r="BV44" i="12"/>
  <c r="BY43" i="12"/>
  <c r="BX43" i="12"/>
  <c r="BW43" i="12"/>
  <c r="BV43" i="12"/>
  <c r="BY42" i="12"/>
  <c r="BX42" i="12"/>
  <c r="BW42" i="12"/>
  <c r="BV42" i="12"/>
  <c r="BY36" i="12"/>
  <c r="BX36" i="12"/>
  <c r="BW36" i="12"/>
  <c r="BV36" i="12"/>
  <c r="BY13" i="12"/>
  <c r="BX13" i="12"/>
  <c r="BW13" i="12"/>
  <c r="BV13" i="12"/>
  <c r="BY10" i="12"/>
  <c r="BX10" i="12"/>
  <c r="BW10" i="12"/>
  <c r="BV10" i="12"/>
  <c r="BY9" i="12"/>
  <c r="BX9" i="12"/>
  <c r="BW9" i="12"/>
  <c r="BV9" i="12"/>
  <c r="BV31" i="12"/>
  <c r="BW31" i="12"/>
  <c r="BX31" i="12"/>
  <c r="BY31" i="12"/>
  <c r="BY30" i="12"/>
  <c r="BX30" i="12"/>
  <c r="BW30" i="12"/>
  <c r="BV30" i="12"/>
  <c r="BY58" i="19" l="1"/>
  <c r="BY64" i="19"/>
  <c r="BX58" i="19"/>
  <c r="BX64" i="19"/>
  <c r="BZ46" i="19"/>
  <c r="BS58" i="19"/>
  <c r="BQ50" i="19"/>
  <c r="BQ52" i="19" s="1"/>
  <c r="BU44" i="19"/>
  <c r="BQ46" i="19"/>
  <c r="BT58" i="19"/>
  <c r="BQ27" i="14"/>
  <c r="BQ29" i="14" s="1"/>
  <c r="BQ35" i="14"/>
  <c r="BV17" i="14"/>
  <c r="BW17" i="14"/>
  <c r="BY15" i="14"/>
  <c r="BY21" i="14"/>
  <c r="BX15" i="14"/>
  <c r="BX21" i="14"/>
  <c r="BZ14" i="14"/>
  <c r="BZ11" i="14"/>
  <c r="BZ15" i="14"/>
  <c r="BX14" i="14"/>
  <c r="BX11" i="14"/>
  <c r="BW23" i="14"/>
  <c r="BS21" i="14"/>
  <c r="BR23" i="14"/>
  <c r="BV64" i="19" l="1"/>
  <c r="BR58" i="19"/>
  <c r="BZ62" i="19"/>
  <c r="BQ70" i="19"/>
  <c r="BU46" i="19"/>
  <c r="BZ64" i="19" s="1"/>
  <c r="BX23" i="14"/>
  <c r="BX17" i="14"/>
  <c r="BY20" i="14"/>
  <c r="BY11" i="14"/>
  <c r="BY14" i="14"/>
  <c r="BZ17" i="14"/>
  <c r="BT20" i="14"/>
  <c r="BT11" i="14"/>
  <c r="BV23" i="14" s="1"/>
  <c r="BT21" i="14"/>
  <c r="BS23" i="14"/>
  <c r="BY23" i="14" l="1"/>
  <c r="BY17" i="14"/>
  <c r="BT23" i="14"/>
  <c r="BQ51" i="12" l="1"/>
  <c r="BR51" i="12" s="1"/>
  <c r="BS51" i="12" s="1"/>
  <c r="BT51" i="12" s="1"/>
  <c r="BP50" i="12"/>
  <c r="BP49" i="12"/>
  <c r="BP47" i="12"/>
  <c r="BO49" i="12"/>
  <c r="BN49" i="12"/>
  <c r="BM49" i="12"/>
  <c r="BL49" i="12"/>
  <c r="BF48" i="12"/>
  <c r="BK48" i="12"/>
  <c r="BJ48" i="12" s="1"/>
  <c r="BF49" i="12"/>
  <c r="BK49" i="12"/>
  <c r="BJ49" i="12" s="1"/>
  <c r="BF50" i="12"/>
  <c r="BK50" i="12"/>
  <c r="BJ50" i="12" s="1"/>
  <c r="BK47" i="12"/>
  <c r="BF47" i="12"/>
  <c r="BO50" i="12"/>
  <c r="BN50" i="12"/>
  <c r="BM50" i="12"/>
  <c r="BL50" i="12"/>
  <c r="BO47" i="12"/>
  <c r="BN47" i="12"/>
  <c r="BM47" i="12"/>
  <c r="BL47" i="12"/>
  <c r="BQ50" i="12"/>
  <c r="BQ49" i="12"/>
  <c r="BQ48" i="12"/>
  <c r="BQ47" i="12"/>
  <c r="BR43" i="12"/>
  <c r="BS43" i="12"/>
  <c r="BR44" i="12"/>
  <c r="BS44" i="12"/>
  <c r="BR45" i="12"/>
  <c r="BS45" i="12"/>
  <c r="BR47" i="12"/>
  <c r="BS47" i="12"/>
  <c r="BR48" i="12"/>
  <c r="BS48" i="12"/>
  <c r="BR49" i="12"/>
  <c r="BS49" i="12"/>
  <c r="BR50" i="12"/>
  <c r="BS50" i="12"/>
  <c r="BS36" i="12"/>
  <c r="BR36" i="12"/>
  <c r="BQ46" i="12"/>
  <c r="BR46" i="12" s="1"/>
  <c r="BS46" i="12" s="1"/>
  <c r="BT46" i="12" s="1"/>
  <c r="BQ42" i="12"/>
  <c r="BR42" i="12" s="1"/>
  <c r="BS42" i="12" s="1"/>
  <c r="BT42" i="12" s="1"/>
  <c r="BQ36" i="12"/>
  <c r="BP36" i="12"/>
  <c r="BO36" i="12"/>
  <c r="BN36" i="12"/>
  <c r="BM36" i="12"/>
  <c r="BL36" i="12"/>
  <c r="BK36" i="12"/>
  <c r="BF36" i="12"/>
  <c r="BP35" i="12"/>
  <c r="BO35" i="12"/>
  <c r="BN35" i="12"/>
  <c r="BM35" i="12"/>
  <c r="BL35" i="12"/>
  <c r="BK35" i="12"/>
  <c r="BS10" i="12"/>
  <c r="BR10" i="12"/>
  <c r="BQ10" i="12"/>
  <c r="BP10" i="12"/>
  <c r="BN10" i="12"/>
  <c r="BM10" i="12"/>
  <c r="BL10" i="12"/>
  <c r="BK10" i="12"/>
  <c r="BF25" i="12"/>
  <c r="BN25" i="12"/>
  <c r="BM25" i="12"/>
  <c r="BQ35" i="12"/>
  <c r="BQ32" i="12"/>
  <c r="BQ31" i="12"/>
  <c r="BR31" i="12" s="1"/>
  <c r="BS31" i="12" s="1"/>
  <c r="BT31" i="12" s="1"/>
  <c r="BQ30" i="12"/>
  <c r="BR30" i="12" s="1"/>
  <c r="BS30" i="12" s="1"/>
  <c r="BT30" i="12" s="1"/>
  <c r="BQ25" i="12"/>
  <c r="BR25" i="12" s="1"/>
  <c r="BQ23" i="12"/>
  <c r="BR23" i="12" s="1"/>
  <c r="BS23" i="12" s="1"/>
  <c r="BT23" i="12" s="1"/>
  <c r="BQ22" i="12"/>
  <c r="BR22" i="12" s="1"/>
  <c r="BS22" i="12" s="1"/>
  <c r="BT22" i="12" s="1"/>
  <c r="BQ21" i="12"/>
  <c r="BR21" i="12" s="1"/>
  <c r="BS21" i="12" s="1"/>
  <c r="BT21" i="12" s="1"/>
  <c r="BQ20" i="12"/>
  <c r="BQ19" i="12"/>
  <c r="BR19" i="12" s="1"/>
  <c r="BS19" i="12" s="1"/>
  <c r="BT19" i="12" s="1"/>
  <c r="BQ18" i="12"/>
  <c r="BR18" i="12" s="1"/>
  <c r="BS18" i="12" s="1"/>
  <c r="BT18" i="12" s="1"/>
  <c r="BQ17" i="12"/>
  <c r="BR17" i="12" s="1"/>
  <c r="BS17" i="12" s="1"/>
  <c r="BT17" i="12" s="1"/>
  <c r="BQ13" i="12"/>
  <c r="BR13" i="12" s="1"/>
  <c r="BS13" i="12" s="1"/>
  <c r="BT13" i="12" s="1"/>
  <c r="BQ11" i="12"/>
  <c r="BR11" i="12" s="1"/>
  <c r="BQ9" i="12"/>
  <c r="BR9" i="12" s="1"/>
  <c r="BS9" i="12" s="1"/>
  <c r="BT9" i="12" s="1"/>
  <c r="BQ8" i="12"/>
  <c r="BR8" i="12" s="1"/>
  <c r="BQ113" i="16"/>
  <c r="BQ115" i="16" s="1"/>
  <c r="BQ79" i="16"/>
  <c r="BQ96" i="8" s="1"/>
  <c r="BQ78" i="16"/>
  <c r="BQ86" i="8" s="1"/>
  <c r="BQ68" i="16"/>
  <c r="BQ65" i="16"/>
  <c r="BQ64" i="16"/>
  <c r="BQ43" i="8"/>
  <c r="BQ39" i="8"/>
  <c r="BQ37" i="8"/>
  <c r="BQ35" i="8"/>
  <c r="BR127" i="8" s="1"/>
  <c r="BQ30" i="8"/>
  <c r="BQ29" i="8"/>
  <c r="BQ116" i="8" s="1"/>
  <c r="BQ28" i="8"/>
  <c r="BQ110" i="8" s="1"/>
  <c r="BR114" i="8" s="1"/>
  <c r="BQ27" i="8"/>
  <c r="BQ103" i="8" s="1"/>
  <c r="BR107" i="8" s="1"/>
  <c r="BQ21" i="8"/>
  <c r="BQ20" i="8"/>
  <c r="BQ19" i="8"/>
  <c r="BQ18" i="8"/>
  <c r="BR93" i="8" s="1"/>
  <c r="BR97" i="8" s="1"/>
  <c r="BQ17" i="8"/>
  <c r="BQ16" i="8"/>
  <c r="BQ15" i="8"/>
  <c r="BR82" i="8" s="1"/>
  <c r="BQ14" i="8"/>
  <c r="BQ10" i="8"/>
  <c r="BQ76" i="8" s="1"/>
  <c r="BR80" i="8" s="1"/>
  <c r="BQ9" i="8"/>
  <c r="BQ69" i="8" s="1"/>
  <c r="BR73" i="8" s="1"/>
  <c r="BQ8" i="8"/>
  <c r="BQ7" i="8"/>
  <c r="BQ53" i="5"/>
  <c r="BQ31" i="5"/>
  <c r="BR34" i="5" s="1"/>
  <c r="BQ26" i="5"/>
  <c r="BR29" i="5" s="1"/>
  <c r="BQ21" i="5"/>
  <c r="BR24" i="5" s="1"/>
  <c r="BQ14" i="5"/>
  <c r="BQ62" i="5"/>
  <c r="BQ47" i="5"/>
  <c r="BQ83" i="16"/>
  <c r="BQ117" i="8"/>
  <c r="BQ70" i="8"/>
  <c r="BQ104" i="8"/>
  <c r="BQ94" i="8" l="1"/>
  <c r="BT35" i="12"/>
  <c r="BT94" i="8" s="1"/>
  <c r="BT36" i="12"/>
  <c r="BT10" i="12"/>
  <c r="BS8" i="12"/>
  <c r="BT8" i="12" s="1"/>
  <c r="BU8" i="12" s="1"/>
  <c r="BS11" i="12"/>
  <c r="BT11" i="12" s="1"/>
  <c r="BR87" i="8"/>
  <c r="BQ83" i="8"/>
  <c r="BR32" i="12"/>
  <c r="BR83" i="8" s="1"/>
  <c r="BR85" i="8" s="1"/>
  <c r="BS32" i="12"/>
  <c r="BQ81" i="16"/>
  <c r="BQ123" i="8"/>
  <c r="BQ129" i="8" s="1"/>
  <c r="BQ27" i="5"/>
  <c r="BQ58" i="8"/>
  <c r="BQ95" i="8" s="1"/>
  <c r="BQ90" i="16"/>
  <c r="BQ59" i="8"/>
  <c r="BQ105" i="8" s="1"/>
  <c r="BQ61" i="8"/>
  <c r="BQ22" i="5"/>
  <c r="BQ77" i="12"/>
  <c r="BQ32" i="5"/>
  <c r="BO188" i="16"/>
  <c r="BU11" i="12" l="1"/>
  <c r="BS83" i="8"/>
  <c r="BS85" i="8" s="1"/>
  <c r="BT32" i="12"/>
  <c r="BS90" i="8"/>
  <c r="BS88" i="8" s="1"/>
  <c r="BR90" i="8"/>
  <c r="BR88" i="8" s="1"/>
  <c r="BQ85" i="8"/>
  <c r="BQ71" i="8"/>
  <c r="BO127" i="16"/>
  <c r="BO126" i="16"/>
  <c r="BO53" i="5" l="1"/>
  <c r="D41" i="7" s="1"/>
  <c r="BO14" i="5"/>
  <c r="D12" i="7" s="1"/>
  <c r="BO79" i="16"/>
  <c r="BO78" i="16"/>
  <c r="BP48" i="12"/>
  <c r="BO45" i="12"/>
  <c r="BO44" i="12"/>
  <c r="BO43" i="12"/>
  <c r="BP51" i="12"/>
  <c r="BP46" i="12"/>
  <c r="BP42" i="12"/>
  <c r="BP32" i="12"/>
  <c r="BP31" i="12"/>
  <c r="BP30" i="12"/>
  <c r="BP22" i="12"/>
  <c r="BP23" i="12"/>
  <c r="BP21" i="12"/>
  <c r="BP19" i="12"/>
  <c r="BP18" i="12"/>
  <c r="BP17" i="12"/>
  <c r="BP13" i="12"/>
  <c r="BP11" i="12"/>
  <c r="BP9" i="12"/>
  <c r="BP8" i="12"/>
  <c r="BP7" i="12"/>
  <c r="BO25" i="12"/>
  <c r="BO24" i="12"/>
  <c r="BO20" i="12"/>
  <c r="BO16" i="12"/>
  <c r="BO15" i="12"/>
  <c r="BO14" i="12"/>
  <c r="BO12" i="12"/>
  <c r="BO10" i="12"/>
  <c r="BO70" i="8"/>
  <c r="BP27" i="12" l="1"/>
  <c r="BO43" i="8"/>
  <c r="BO39" i="8"/>
  <c r="BO37" i="8"/>
  <c r="BO35" i="8"/>
  <c r="BO30" i="8"/>
  <c r="BO29" i="8"/>
  <c r="BO116" i="8" s="1"/>
  <c r="BO28" i="8"/>
  <c r="BO110" i="8" s="1"/>
  <c r="BQ114" i="8" s="1"/>
  <c r="BO27" i="8"/>
  <c r="BO103" i="8" s="1"/>
  <c r="BQ107" i="8" s="1"/>
  <c r="BO21" i="8"/>
  <c r="BO20" i="8"/>
  <c r="BO19" i="8"/>
  <c r="BO18" i="8"/>
  <c r="BQ93" i="8" s="1"/>
  <c r="BO17" i="8"/>
  <c r="BO16" i="8"/>
  <c r="BO15" i="8"/>
  <c r="BQ82" i="8" s="1"/>
  <c r="BO14" i="8"/>
  <c r="BO7" i="8"/>
  <c r="BO10" i="8"/>
  <c r="BO76" i="8" s="1"/>
  <c r="BQ80" i="8" s="1"/>
  <c r="BO9" i="8"/>
  <c r="BO69" i="8" s="1"/>
  <c r="BQ73" i="8" s="1"/>
  <c r="BO8" i="8"/>
  <c r="BO31" i="5"/>
  <c r="D22" i="7" s="1"/>
  <c r="BO26" i="5"/>
  <c r="D20" i="7" s="1"/>
  <c r="BO21" i="5"/>
  <c r="D18" i="7" s="1"/>
  <c r="BO47" i="5"/>
  <c r="D34" i="7" s="1"/>
  <c r="BO46" i="5"/>
  <c r="BO9" i="5"/>
  <c r="BO104" i="8"/>
  <c r="BO117" i="8"/>
  <c r="D33" i="7" l="1"/>
  <c r="D35" i="7"/>
  <c r="L26" i="25"/>
  <c r="BT10" i="5"/>
  <c r="D10" i="7"/>
  <c r="N26" i="25"/>
  <c r="E16" i="25"/>
  <c r="BO123" i="8"/>
  <c r="BO129" i="8" s="1"/>
  <c r="BQ127" i="8"/>
  <c r="BQ97" i="8"/>
  <c r="BQ100" i="8"/>
  <c r="BQ98" i="8" s="1"/>
  <c r="BQ90" i="8"/>
  <c r="BQ88" i="8" s="1"/>
  <c r="BQ87" i="8"/>
  <c r="BQ24" i="5"/>
  <c r="BQ29" i="5"/>
  <c r="BQ11" i="5"/>
  <c r="BQ34" i="5"/>
  <c r="I17" i="25" l="1"/>
  <c r="I16" i="25"/>
  <c r="O26" i="25"/>
  <c r="E20" i="25"/>
  <c r="W7" i="7"/>
  <c r="W6" i="7"/>
  <c r="E21" i="25" l="1"/>
  <c r="AZ143" i="16"/>
  <c r="AY143" i="16"/>
  <c r="AX143" i="16"/>
  <c r="AW143" i="16"/>
  <c r="BD143" i="16"/>
  <c r="BC143" i="16"/>
  <c r="BB143" i="16"/>
  <c r="AC4" i="24" l="1"/>
  <c r="AB4" i="24"/>
  <c r="AA4" i="24"/>
  <c r="Z4" i="24"/>
  <c r="BI138" i="16" l="1"/>
  <c r="BN138" i="16"/>
  <c r="BK69" i="5"/>
  <c r="BN43" i="19"/>
  <c r="BN8" i="14"/>
  <c r="BS14" i="14" s="1"/>
  <c r="P5" i="23" l="1"/>
  <c r="P6" i="23" s="1"/>
  <c r="BS61" i="19"/>
  <c r="BN137" i="16"/>
  <c r="BN136" i="16"/>
  <c r="BN147" i="16" s="1"/>
  <c r="BU17" i="6"/>
  <c r="BN96" i="8"/>
  <c r="BN94" i="8"/>
  <c r="BN86" i="8"/>
  <c r="BN188" i="16"/>
  <c r="BN127" i="16"/>
  <c r="BN68" i="16"/>
  <c r="BN113" i="16"/>
  <c r="BS114" i="16" s="1"/>
  <c r="BN53" i="5"/>
  <c r="BN14" i="5"/>
  <c r="BN21" i="5"/>
  <c r="BN43" i="8"/>
  <c r="BN39" i="8"/>
  <c r="BN37" i="8"/>
  <c r="BN35" i="8"/>
  <c r="BN30" i="8"/>
  <c r="BN29" i="8"/>
  <c r="BN116" i="8" s="1"/>
  <c r="BS119" i="8" s="1"/>
  <c r="BN28" i="8"/>
  <c r="BN110" i="8" s="1"/>
  <c r="BS113" i="8" s="1"/>
  <c r="BN27" i="8"/>
  <c r="BN103" i="8" s="1"/>
  <c r="BS106" i="8" s="1"/>
  <c r="BN21" i="8"/>
  <c r="BN20" i="8"/>
  <c r="BN19" i="8"/>
  <c r="BN18" i="8"/>
  <c r="BO93" i="8" s="1"/>
  <c r="BN17" i="8"/>
  <c r="BN16" i="8"/>
  <c r="BN15" i="8"/>
  <c r="BO82" i="8" s="1"/>
  <c r="BN14" i="8"/>
  <c r="BN10" i="8"/>
  <c r="BN76" i="8" s="1"/>
  <c r="BS79" i="8" s="1"/>
  <c r="BN9" i="8"/>
  <c r="BN69" i="8" s="1"/>
  <c r="BS72" i="8" s="1"/>
  <c r="BN8" i="8"/>
  <c r="BN7" i="8"/>
  <c r="BN26" i="5"/>
  <c r="BN31" i="5"/>
  <c r="BN62" i="5"/>
  <c r="G50" i="7" s="1"/>
  <c r="BN47" i="5"/>
  <c r="BN46" i="5"/>
  <c r="BN9" i="5"/>
  <c r="BN70" i="8"/>
  <c r="BN117" i="8"/>
  <c r="BN104" i="8"/>
  <c r="BS23" i="5" l="1"/>
  <c r="BS33" i="5"/>
  <c r="BO127" i="8"/>
  <c r="BS126" i="8"/>
  <c r="BS28" i="5"/>
  <c r="L25" i="25"/>
  <c r="E18" i="25" s="1"/>
  <c r="BS10" i="5"/>
  <c r="D14" i="7"/>
  <c r="BN81" i="16"/>
  <c r="BN123" i="8"/>
  <c r="BN129" i="8" s="1"/>
  <c r="BS130" i="8" s="1"/>
  <c r="BO107" i="8"/>
  <c r="BO114" i="8"/>
  <c r="BO80" i="8"/>
  <c r="BO73" i="8"/>
  <c r="BO24" i="5"/>
  <c r="BN146" i="16"/>
  <c r="BO34" i="5"/>
  <c r="BO29" i="5"/>
  <c r="BN139" i="16"/>
  <c r="BE127" i="16"/>
  <c r="BD127" i="16"/>
  <c r="BC127" i="16"/>
  <c r="BJ127" i="16"/>
  <c r="BI127" i="16"/>
  <c r="BH127" i="16"/>
  <c r="BH126" i="16"/>
  <c r="BG188" i="16"/>
  <c r="BI126" i="16"/>
  <c r="BN126" i="16"/>
  <c r="N25" i="25" l="1"/>
  <c r="O25" i="25" s="1"/>
  <c r="D23" i="7"/>
  <c r="D19" i="7"/>
  <c r="D25" i="7"/>
  <c r="D26" i="7" s="1"/>
  <c r="D15" i="7"/>
  <c r="D28" i="7"/>
  <c r="D21" i="7"/>
  <c r="R48" i="8"/>
  <c r="Q48" i="8"/>
  <c r="P48" i="8"/>
  <c r="O48" i="8"/>
  <c r="N48" i="8"/>
  <c r="W48" i="8"/>
  <c r="V48" i="8"/>
  <c r="U48" i="8"/>
  <c r="T48" i="8"/>
  <c r="S48" i="8"/>
  <c r="AB48" i="8"/>
  <c r="AA48" i="8"/>
  <c r="Z48" i="8"/>
  <c r="Y48" i="8"/>
  <c r="X48" i="8"/>
  <c r="AG48" i="8"/>
  <c r="AF48" i="8"/>
  <c r="AE48" i="8"/>
  <c r="AD48" i="8"/>
  <c r="AC48" i="8"/>
  <c r="AL48" i="8"/>
  <c r="AK48" i="8"/>
  <c r="AJ48" i="8"/>
  <c r="AI48" i="8"/>
  <c r="AH48" i="8"/>
  <c r="AQ48" i="8"/>
  <c r="AP48" i="8"/>
  <c r="AO48" i="8"/>
  <c r="AN48" i="8"/>
  <c r="AM48" i="8"/>
  <c r="AV48" i="8"/>
  <c r="AU48" i="8"/>
  <c r="AT48" i="8"/>
  <c r="AS48" i="8"/>
  <c r="AR48" i="8"/>
  <c r="BA48" i="8"/>
  <c r="AZ48" i="8"/>
  <c r="AY48" i="8"/>
  <c r="AX48" i="8"/>
  <c r="AW48" i="8"/>
  <c r="BZ48" i="8"/>
  <c r="BY48" i="8"/>
  <c r="BX48" i="8"/>
  <c r="BW48" i="8"/>
  <c r="BV48" i="8"/>
  <c r="BU48" i="8"/>
  <c r="BT48" i="8"/>
  <c r="BS48" i="8"/>
  <c r="BR48" i="8"/>
  <c r="BQ48" i="8"/>
  <c r="BP48" i="8"/>
  <c r="BO48" i="8"/>
  <c r="BN48" i="8"/>
  <c r="BM48" i="8"/>
  <c r="BL48" i="8"/>
  <c r="BK48" i="8"/>
  <c r="BJ48" i="8"/>
  <c r="BI48" i="8"/>
  <c r="BH48" i="8"/>
  <c r="BG48" i="8"/>
  <c r="BF48" i="8"/>
  <c r="BE48" i="8"/>
  <c r="BD48" i="8"/>
  <c r="BC48" i="8"/>
  <c r="BB48" i="8"/>
  <c r="D37" i="7" l="1"/>
  <c r="D29" i="7"/>
  <c r="BH188" i="16"/>
  <c r="BI188" i="16"/>
  <c r="BM188" i="16"/>
  <c r="BM127" i="16"/>
  <c r="BM126" i="16"/>
  <c r="BJ188" i="16"/>
  <c r="D44" i="7" l="1"/>
  <c r="D38" i="7"/>
  <c r="D42" i="7"/>
  <c r="BG127" i="16"/>
  <c r="BL127" i="16"/>
  <c r="BL126" i="16"/>
  <c r="BJ126" i="16"/>
  <c r="BL188" i="16"/>
  <c r="H4" i="24" l="1"/>
  <c r="J3" i="24"/>
  <c r="N3" i="24"/>
  <c r="R3" i="24"/>
  <c r="BM44" i="19"/>
  <c r="BR62" i="19" s="1"/>
  <c r="BM43" i="19"/>
  <c r="BR61" i="19" s="1"/>
  <c r="R8" i="24"/>
  <c r="Q8" i="24" s="1"/>
  <c r="P8" i="24" s="1"/>
  <c r="O8" i="24" s="1"/>
  <c r="N8" i="24" s="1"/>
  <c r="M8" i="24" s="1"/>
  <c r="L8" i="24" s="1"/>
  <c r="K8" i="24" s="1"/>
  <c r="J8" i="24" s="1"/>
  <c r="I8" i="24" s="1"/>
  <c r="BM46" i="19" l="1"/>
  <c r="BR64" i="19" s="1"/>
  <c r="BM11" i="14"/>
  <c r="BR17" i="14" s="1"/>
  <c r="Y4" i="24"/>
  <c r="X4" i="24"/>
  <c r="W4" i="24"/>
  <c r="V4" i="24"/>
  <c r="T4" i="24"/>
  <c r="U4" i="24"/>
  <c r="I4" i="24"/>
  <c r="L4" i="24"/>
  <c r="K4" i="24"/>
  <c r="J4" i="24"/>
  <c r="M4" i="24"/>
  <c r="P4" i="24"/>
  <c r="O4" i="24"/>
  <c r="N4" i="24"/>
  <c r="Q4" i="24"/>
  <c r="R4" i="24"/>
  <c r="S4" i="24"/>
  <c r="N6" i="24"/>
  <c r="L6" i="24"/>
  <c r="J6" i="24"/>
  <c r="K6" i="24" s="1"/>
  <c r="BL123" i="16"/>
  <c r="O7" i="23"/>
  <c r="O8" i="23" s="1"/>
  <c r="O5" i="23"/>
  <c r="O6" i="23" s="1"/>
  <c r="BM138" i="16" l="1"/>
  <c r="BM137" i="16"/>
  <c r="BM136" i="16"/>
  <c r="BN158" i="16" l="1"/>
  <c r="BN142" i="16"/>
  <c r="BM147" i="16"/>
  <c r="BN159" i="16"/>
  <c r="BN143" i="16"/>
  <c r="BN141" i="16"/>
  <c r="BN157" i="16"/>
  <c r="BM139" i="16"/>
  <c r="BM146" i="16"/>
  <c r="BM94" i="8"/>
  <c r="BN144" i="16" l="1"/>
  <c r="BM81" i="16"/>
  <c r="BM78" i="16"/>
  <c r="BM86" i="8" s="1"/>
  <c r="BM68" i="16"/>
  <c r="BM113" i="16"/>
  <c r="BM39" i="8"/>
  <c r="BM37" i="8"/>
  <c r="BM35" i="8"/>
  <c r="BM30" i="8"/>
  <c r="BM29" i="8"/>
  <c r="BM28" i="8"/>
  <c r="BM27" i="8"/>
  <c r="BM21" i="8"/>
  <c r="BM20" i="8"/>
  <c r="BM19" i="8"/>
  <c r="BM18" i="8"/>
  <c r="BN93" i="8" s="1"/>
  <c r="BM17" i="8"/>
  <c r="BM16" i="8"/>
  <c r="BM15" i="8"/>
  <c r="BN82" i="8" s="1"/>
  <c r="BM14" i="8"/>
  <c r="BM10" i="8"/>
  <c r="BM9" i="8"/>
  <c r="BM8" i="8"/>
  <c r="BM7" i="8"/>
  <c r="BM53" i="5"/>
  <c r="BM31" i="5"/>
  <c r="BM26" i="5"/>
  <c r="BM21" i="5"/>
  <c r="BM14" i="5"/>
  <c r="BM62" i="5"/>
  <c r="BM47" i="5"/>
  <c r="BM46" i="5"/>
  <c r="BM9" i="5"/>
  <c r="BM79" i="16"/>
  <c r="BM96" i="8" s="1"/>
  <c r="BN127" i="8" l="1"/>
  <c r="BR126" i="8"/>
  <c r="BN24" i="5"/>
  <c r="BR23" i="5"/>
  <c r="BN29" i="5"/>
  <c r="BR28" i="5"/>
  <c r="BN34" i="5"/>
  <c r="BR33" i="5"/>
  <c r="L24" i="25"/>
  <c r="BR10" i="5"/>
  <c r="N24" i="25"/>
  <c r="BN87" i="8"/>
  <c r="BN97" i="8"/>
  <c r="BN100" i="8"/>
  <c r="BN98" i="8" s="1"/>
  <c r="O24" i="25" l="1"/>
  <c r="BL138" i="16"/>
  <c r="BY66" i="12"/>
  <c r="BX66" i="12"/>
  <c r="BW66" i="12"/>
  <c r="BV66" i="12"/>
  <c r="BZ56" i="12"/>
  <c r="BY54" i="12"/>
  <c r="BX54" i="12"/>
  <c r="BW54" i="12"/>
  <c r="BV54" i="12"/>
  <c r="BZ52" i="12"/>
  <c r="BZ51" i="12"/>
  <c r="BZ50" i="12"/>
  <c r="BZ49" i="12"/>
  <c r="BZ48" i="12"/>
  <c r="BZ47" i="12"/>
  <c r="BZ66" i="12" s="1"/>
  <c r="BZ46" i="12"/>
  <c r="BZ45" i="12"/>
  <c r="BZ44" i="12"/>
  <c r="BZ43" i="12"/>
  <c r="BZ42" i="12"/>
  <c r="BZ41" i="12"/>
  <c r="BZ36" i="12"/>
  <c r="BZ34" i="12"/>
  <c r="BZ33" i="12"/>
  <c r="BZ31" i="12"/>
  <c r="BZ30" i="12"/>
  <c r="BZ16" i="12"/>
  <c r="BZ15" i="12"/>
  <c r="BZ14" i="12"/>
  <c r="BZ13" i="12"/>
  <c r="BZ12" i="12"/>
  <c r="BZ10" i="12"/>
  <c r="BZ9" i="12"/>
  <c r="BY5" i="12"/>
  <c r="BX5" i="12"/>
  <c r="BW5" i="12"/>
  <c r="BV5" i="12"/>
  <c r="BM159" i="16" l="1"/>
  <c r="BM143" i="16"/>
  <c r="BZ54" i="12"/>
  <c r="BZ191" i="5"/>
  <c r="BY191" i="5"/>
  <c r="BX191" i="5"/>
  <c r="BW191" i="5"/>
  <c r="BV191" i="5"/>
  <c r="BZ190" i="5"/>
  <c r="BV190" i="5"/>
  <c r="BV165" i="5"/>
  <c r="BZ135" i="5"/>
  <c r="BY135" i="5"/>
  <c r="BX135" i="5"/>
  <c r="BW135" i="5"/>
  <c r="BV135" i="5"/>
  <c r="BZ134" i="5"/>
  <c r="BV134" i="5"/>
  <c r="BZ85" i="5"/>
  <c r="BY85" i="5"/>
  <c r="BX85" i="5"/>
  <c r="BW85" i="5"/>
  <c r="BV85" i="5"/>
  <c r="BZ84" i="5"/>
  <c r="BV84" i="5"/>
  <c r="BW47" i="5"/>
  <c r="BX47" i="5" s="1"/>
  <c r="BY47" i="5" s="1"/>
  <c r="CA47" i="5" s="1"/>
  <c r="BZ59" i="16"/>
  <c r="BZ32" i="16"/>
  <c r="BZ5" i="16"/>
  <c r="BZ60" i="16" s="1"/>
  <c r="BY5" i="16"/>
  <c r="BY33" i="16" s="1"/>
  <c r="BX5" i="16"/>
  <c r="BX33" i="16" s="1"/>
  <c r="BW5" i="16"/>
  <c r="BV5" i="16"/>
  <c r="BV60" i="16" s="1"/>
  <c r="BV4" i="16"/>
  <c r="BV59" i="16" s="1"/>
  <c r="BZ132" i="8"/>
  <c r="BZ66" i="8"/>
  <c r="BZ64" i="8"/>
  <c r="BZ5" i="8"/>
  <c r="BZ5" i="12" s="1"/>
  <c r="BY104" i="8"/>
  <c r="BW70" i="8"/>
  <c r="BW104" i="8"/>
  <c r="BV104" i="8"/>
  <c r="BX70" i="8"/>
  <c r="BV117" i="8"/>
  <c r="BV70" i="8"/>
  <c r="BX104" i="8"/>
  <c r="BW117" i="8"/>
  <c r="BY70" i="8"/>
  <c r="CA221" i="5" l="1"/>
  <c r="CA165" i="5"/>
  <c r="CB47" i="5"/>
  <c r="BX60" i="16"/>
  <c r="BY221" i="5"/>
  <c r="BW33" i="16"/>
  <c r="BW60" i="16"/>
  <c r="BX221" i="5"/>
  <c r="BY60" i="16"/>
  <c r="BZ47" i="5"/>
  <c r="BW221" i="5"/>
  <c r="BZ33" i="16"/>
  <c r="BV32" i="16"/>
  <c r="BV33" i="16"/>
  <c r="N8" i="23"/>
  <c r="N6" i="23"/>
  <c r="CB221" i="5" l="1"/>
  <c r="CB165" i="5"/>
  <c r="CC47" i="5"/>
  <c r="BN175" i="16"/>
  <c r="BN164" i="16"/>
  <c r="BM164" i="16"/>
  <c r="BO161" i="16"/>
  <c r="BN161" i="16"/>
  <c r="BL137" i="16"/>
  <c r="BQ153" i="16" s="1"/>
  <c r="BL136" i="16"/>
  <c r="BQ152" i="16" s="1"/>
  <c r="CC221" i="5" l="1"/>
  <c r="CC165" i="5"/>
  <c r="CD47" i="5"/>
  <c r="CE47" i="5" s="1"/>
  <c r="BM158" i="16"/>
  <c r="BM142" i="16"/>
  <c r="BM161" i="16"/>
  <c r="BM141" i="16"/>
  <c r="BL147" i="16"/>
  <c r="BL164" i="16"/>
  <c r="BL146" i="16"/>
  <c r="BM175" i="16"/>
  <c r="BM157" i="16"/>
  <c r="BL139" i="16"/>
  <c r="BL21" i="5"/>
  <c r="CE165" i="5" l="1"/>
  <c r="CD221" i="5"/>
  <c r="CD165" i="5"/>
  <c r="BM24" i="5"/>
  <c r="BQ23" i="5"/>
  <c r="BM144" i="16"/>
  <c r="BL94" i="8"/>
  <c r="BL81" i="16" l="1"/>
  <c r="BL78" i="16"/>
  <c r="BL86" i="8" s="1"/>
  <c r="BL68" i="16"/>
  <c r="BL65" i="16"/>
  <c r="BL79" i="16" s="1"/>
  <c r="BL96" i="8" s="1"/>
  <c r="BL113" i="16"/>
  <c r="BQ114" i="16" s="1"/>
  <c r="BL48" i="12"/>
  <c r="BM48" i="12" s="1"/>
  <c r="BN48" i="12" s="1"/>
  <c r="BO48" i="12" s="1"/>
  <c r="BL51" i="12"/>
  <c r="BM51" i="12" s="1"/>
  <c r="BN51" i="12" s="1"/>
  <c r="BO51" i="12" s="1"/>
  <c r="BL46" i="12"/>
  <c r="BM46" i="12" s="1"/>
  <c r="BN46" i="12" s="1"/>
  <c r="BO46" i="12" s="1"/>
  <c r="BL42" i="12"/>
  <c r="BM42" i="12" s="1"/>
  <c r="BN42" i="12" s="1"/>
  <c r="BO42" i="12" s="1"/>
  <c r="BL32" i="12"/>
  <c r="BL31" i="12"/>
  <c r="BM31" i="12" s="1"/>
  <c r="BN31" i="12" s="1"/>
  <c r="BO31" i="12" s="1"/>
  <c r="BL30" i="12"/>
  <c r="BM30" i="12" s="1"/>
  <c r="BN30" i="12" s="1"/>
  <c r="BO30" i="12" s="1"/>
  <c r="BL23" i="12"/>
  <c r="BM23" i="12" s="1"/>
  <c r="BN23" i="12" s="1"/>
  <c r="BO23" i="12" s="1"/>
  <c r="BL22" i="12"/>
  <c r="BM22" i="12" s="1"/>
  <c r="BN22" i="12" s="1"/>
  <c r="BO22" i="12" s="1"/>
  <c r="BL21" i="12"/>
  <c r="BM21" i="12" s="1"/>
  <c r="BN21" i="12" s="1"/>
  <c r="BO21" i="12" s="1"/>
  <c r="BL19" i="12"/>
  <c r="BM19" i="12" s="1"/>
  <c r="BN19" i="12" s="1"/>
  <c r="BO19" i="12" s="1"/>
  <c r="BL18" i="12"/>
  <c r="BM18" i="12" s="1"/>
  <c r="BN18" i="12" s="1"/>
  <c r="BO18" i="12" s="1"/>
  <c r="BL17" i="12"/>
  <c r="BM17" i="12" s="1"/>
  <c r="BN17" i="12" s="1"/>
  <c r="BO17" i="12" s="1"/>
  <c r="BL13" i="12"/>
  <c r="BM13" i="12" s="1"/>
  <c r="BN13" i="12" s="1"/>
  <c r="BO13" i="12" s="1"/>
  <c r="BL11" i="12"/>
  <c r="BM11" i="12" s="1"/>
  <c r="BN11" i="12" s="1"/>
  <c r="BO11" i="12" s="1"/>
  <c r="BL9" i="12"/>
  <c r="BM9" i="12" s="1"/>
  <c r="BN9" i="12" s="1"/>
  <c r="BO9" i="12" s="1"/>
  <c r="BL8" i="12"/>
  <c r="BM8" i="12" s="1"/>
  <c r="BN8" i="12" s="1"/>
  <c r="BO8" i="12" s="1"/>
  <c r="BL7" i="12"/>
  <c r="BM7" i="12" s="1"/>
  <c r="BN7" i="12" s="1"/>
  <c r="BO7" i="12" s="1"/>
  <c r="BL39" i="8"/>
  <c r="BL37" i="8"/>
  <c r="BL35" i="8"/>
  <c r="BQ126" i="8" s="1"/>
  <c r="BL30" i="8"/>
  <c r="BL29" i="8"/>
  <c r="BL28" i="8"/>
  <c r="BL110" i="8" s="1"/>
  <c r="BQ113" i="8" s="1"/>
  <c r="BL27" i="8"/>
  <c r="BL21" i="8"/>
  <c r="BL20" i="8"/>
  <c r="BL19" i="8"/>
  <c r="BL18" i="8"/>
  <c r="BL17" i="8"/>
  <c r="BL16" i="8"/>
  <c r="BL15" i="8"/>
  <c r="BL14" i="8"/>
  <c r="BL10" i="8"/>
  <c r="BL9" i="8"/>
  <c r="BL8" i="8"/>
  <c r="BL7" i="8"/>
  <c r="BL62" i="5"/>
  <c r="BL53" i="5"/>
  <c r="BL31" i="5"/>
  <c r="BL26" i="5"/>
  <c r="BL14" i="5"/>
  <c r="BL47" i="5"/>
  <c r="BL46" i="5"/>
  <c r="BL9" i="5"/>
  <c r="L23" i="25" s="1"/>
  <c r="N23" i="25" s="1"/>
  <c r="O23" i="25" s="1"/>
  <c r="BQ33" i="5" l="1"/>
  <c r="BQ28" i="5"/>
  <c r="BQ10" i="5"/>
  <c r="BM34" i="5"/>
  <c r="BM32" i="12"/>
  <c r="BL83" i="8"/>
  <c r="BM29" i="5"/>
  <c r="M8" i="23"/>
  <c r="L8" i="23"/>
  <c r="K8" i="23"/>
  <c r="J8" i="23"/>
  <c r="I8" i="23"/>
  <c r="H8" i="23"/>
  <c r="G8" i="23"/>
  <c r="F8" i="23"/>
  <c r="M6" i="23"/>
  <c r="L6" i="23"/>
  <c r="K6" i="23"/>
  <c r="J6" i="23"/>
  <c r="I6" i="23"/>
  <c r="H6" i="23"/>
  <c r="G6" i="23"/>
  <c r="F6" i="23"/>
  <c r="BM83" i="8" l="1"/>
  <c r="BN32" i="12"/>
  <c r="BK44" i="19"/>
  <c r="BK43" i="19"/>
  <c r="BJ138" i="16"/>
  <c r="BJ137" i="16"/>
  <c r="BJ136" i="16"/>
  <c r="BV69" i="19" l="1"/>
  <c r="BV49" i="19" s="1"/>
  <c r="CA9" i="5"/>
  <c r="BV16" i="5"/>
  <c r="BV91" i="5" s="1"/>
  <c r="BV34" i="14"/>
  <c r="BJ143" i="16"/>
  <c r="BJ147" i="16"/>
  <c r="BL143" i="16"/>
  <c r="BL142" i="16"/>
  <c r="BO32" i="12"/>
  <c r="BN83" i="8"/>
  <c r="BL141" i="16"/>
  <c r="BQ21" i="6"/>
  <c r="BV8" i="16"/>
  <c r="BV58" i="8"/>
  <c r="BV83" i="8" s="1"/>
  <c r="BV32" i="12" s="1"/>
  <c r="BV115" i="5"/>
  <c r="BV17" i="16"/>
  <c r="BV36" i="16"/>
  <c r="BV100" i="16"/>
  <c r="BV137" i="5"/>
  <c r="BV120" i="8" s="1"/>
  <c r="BV87" i="5"/>
  <c r="BV77" i="12"/>
  <c r="BV107" i="16"/>
  <c r="BV113" i="16" s="1"/>
  <c r="BV116" i="16" s="1"/>
  <c r="BJ164" i="16"/>
  <c r="BL157" i="16"/>
  <c r="BL161" i="16"/>
  <c r="BL175" i="16"/>
  <c r="BL158" i="16"/>
  <c r="BJ139" i="16"/>
  <c r="BJ146" i="16"/>
  <c r="BV50" i="19" l="1"/>
  <c r="BV52" i="19" s="1"/>
  <c r="BV21" i="6"/>
  <c r="CA36" i="16"/>
  <c r="CA107" i="16"/>
  <c r="CA58" i="8"/>
  <c r="CA8" i="16"/>
  <c r="CA100" i="16"/>
  <c r="CA17" i="16"/>
  <c r="CA77" i="12"/>
  <c r="BV70" i="19"/>
  <c r="CA137" i="5"/>
  <c r="CA16" i="5"/>
  <c r="CA14" i="5" s="1"/>
  <c r="CA59" i="8" s="1"/>
  <c r="CA87" i="5"/>
  <c r="CA115" i="5"/>
  <c r="BV14" i="5"/>
  <c r="BV59" i="8" s="1"/>
  <c r="BV27" i="8" s="1"/>
  <c r="BV103" i="8" s="1"/>
  <c r="BV105" i="8" s="1"/>
  <c r="BV35" i="14"/>
  <c r="BV27" i="14"/>
  <c r="BV26" i="14"/>
  <c r="BN90" i="8"/>
  <c r="BN88" i="8" s="1"/>
  <c r="BV9" i="8"/>
  <c r="BV52" i="8" s="1"/>
  <c r="BV94" i="8"/>
  <c r="BV35" i="12" s="1"/>
  <c r="BV38" i="12" s="1"/>
  <c r="BL144" i="16"/>
  <c r="BV38" i="16"/>
  <c r="BV64" i="16"/>
  <c r="BV89" i="16"/>
  <c r="BV11" i="12"/>
  <c r="BV65" i="12"/>
  <c r="BH8" i="14"/>
  <c r="BI8" i="14"/>
  <c r="BI43" i="19"/>
  <c r="BV29" i="14" l="1"/>
  <c r="CA78" i="12"/>
  <c r="CA27" i="8"/>
  <c r="CA83" i="8"/>
  <c r="CA9" i="8"/>
  <c r="CA94" i="8"/>
  <c r="CA108" i="16"/>
  <c r="CA113" i="16"/>
  <c r="CA120" i="8"/>
  <c r="CA38" i="16"/>
  <c r="CA91" i="5"/>
  <c r="CA141" i="5"/>
  <c r="CA89" i="5"/>
  <c r="CA139" i="5"/>
  <c r="BV89" i="5"/>
  <c r="BV53" i="8"/>
  <c r="BV69" i="8"/>
  <c r="BV71" i="8" s="1"/>
  <c r="BJ8" i="14"/>
  <c r="BJ79" i="16"/>
  <c r="BJ96" i="8" s="1"/>
  <c r="BJ113" i="16"/>
  <c r="BJ78" i="16"/>
  <c r="BJ86" i="8" s="1"/>
  <c r="BJ68" i="16"/>
  <c r="BJ53" i="5"/>
  <c r="BJ46" i="5"/>
  <c r="BK51" i="12"/>
  <c r="BK46" i="12"/>
  <c r="BK42" i="12"/>
  <c r="BJ43" i="12"/>
  <c r="BJ44" i="12"/>
  <c r="BJ45" i="12"/>
  <c r="BJ47" i="12"/>
  <c r="BK32" i="12"/>
  <c r="BK31" i="12"/>
  <c r="BK30" i="12"/>
  <c r="BJ33" i="12"/>
  <c r="BJ34" i="12"/>
  <c r="BJ35" i="12"/>
  <c r="BJ94" i="8" s="1"/>
  <c r="BJ36" i="12"/>
  <c r="BK23" i="12"/>
  <c r="BK22" i="12"/>
  <c r="BK21" i="12"/>
  <c r="BK19" i="12"/>
  <c r="BK18" i="12"/>
  <c r="BK17" i="12"/>
  <c r="BK13" i="12"/>
  <c r="BK11" i="12"/>
  <c r="BK25" i="12"/>
  <c r="BK9" i="12"/>
  <c r="BK8" i="12"/>
  <c r="BJ10" i="12"/>
  <c r="BK7" i="12"/>
  <c r="CA32" i="12" l="1"/>
  <c r="CA65" i="12" s="1"/>
  <c r="CA69" i="8"/>
  <c r="CA52" i="8"/>
  <c r="CA89" i="16"/>
  <c r="CA114" i="16"/>
  <c r="CA116" i="16"/>
  <c r="CA64" i="16"/>
  <c r="CA11" i="12"/>
  <c r="CA103" i="8"/>
  <c r="CA53" i="8"/>
  <c r="CA35" i="12"/>
  <c r="BJ39" i="8"/>
  <c r="BJ37" i="8"/>
  <c r="BJ35" i="8"/>
  <c r="BO126" i="8" s="1"/>
  <c r="BJ30" i="8"/>
  <c r="BJ29" i="8"/>
  <c r="BJ116" i="8" s="1"/>
  <c r="BO119" i="8" s="1"/>
  <c r="BJ28" i="8"/>
  <c r="BJ110" i="8" s="1"/>
  <c r="BO113" i="8" s="1"/>
  <c r="BJ27" i="8"/>
  <c r="BJ21" i="8"/>
  <c r="BJ20" i="8"/>
  <c r="BJ7" i="8"/>
  <c r="BJ19" i="8"/>
  <c r="BJ18" i="8"/>
  <c r="BJ17" i="8"/>
  <c r="BJ16" i="8"/>
  <c r="BJ15" i="8"/>
  <c r="BJ14" i="8"/>
  <c r="BJ10" i="8"/>
  <c r="BJ9" i="8"/>
  <c r="BJ8" i="8"/>
  <c r="BJ31" i="5"/>
  <c r="BL34" i="5" s="1"/>
  <c r="BJ26" i="5"/>
  <c r="BL29" i="5" s="1"/>
  <c r="BJ21" i="5"/>
  <c r="BL24" i="5" s="1"/>
  <c r="BJ14" i="5"/>
  <c r="BJ62" i="5"/>
  <c r="BJ47" i="5"/>
  <c r="BJ9" i="5"/>
  <c r="L22" i="25" s="1"/>
  <c r="N22" i="25" l="1"/>
  <c r="O22" i="25" s="1"/>
  <c r="E17" i="25"/>
  <c r="CA38" i="12"/>
  <c r="CA105" i="8"/>
  <c r="CA106" i="8"/>
  <c r="CA72" i="8"/>
  <c r="CA71" i="8"/>
  <c r="BO10" i="5"/>
  <c r="BJ123" i="8"/>
  <c r="BJ129" i="8" s="1"/>
  <c r="BO130" i="8" s="1"/>
  <c r="BH69" i="5" l="1"/>
  <c r="BG69" i="5"/>
  <c r="BI137" i="16" l="1"/>
  <c r="BI136" i="16"/>
  <c r="BH138" i="16"/>
  <c r="BH137" i="16"/>
  <c r="BH136" i="16"/>
  <c r="BH147" i="16" l="1"/>
  <c r="BH143" i="16"/>
  <c r="BI143" i="16"/>
  <c r="BI141" i="16"/>
  <c r="BI147" i="16"/>
  <c r="BN152" i="16"/>
  <c r="BJ141" i="16"/>
  <c r="BI142" i="16"/>
  <c r="BN153" i="16"/>
  <c r="BJ142" i="16"/>
  <c r="BM152" i="16"/>
  <c r="BM153" i="16"/>
  <c r="BJ161" i="16"/>
  <c r="BI157" i="16"/>
  <c r="BJ157" i="16"/>
  <c r="BJ175" i="16"/>
  <c r="BI158" i="16"/>
  <c r="BJ158" i="16"/>
  <c r="BI159" i="16"/>
  <c r="BJ159" i="16"/>
  <c r="BI146" i="16"/>
  <c r="BH139" i="16"/>
  <c r="BH144" i="16" s="1"/>
  <c r="BI161" i="16"/>
  <c r="BH164" i="16"/>
  <c r="BH146" i="16"/>
  <c r="BI164" i="16"/>
  <c r="BI139" i="16"/>
  <c r="BI86" i="8"/>
  <c r="BI96" i="8"/>
  <c r="BI144" i="16" l="1"/>
  <c r="BJ144" i="16"/>
  <c r="BI94" i="8"/>
  <c r="BI39" i="8"/>
  <c r="BI37" i="8"/>
  <c r="BI35" i="8"/>
  <c r="BI30" i="8"/>
  <c r="BI29" i="8"/>
  <c r="BI28" i="8"/>
  <c r="BI27" i="8"/>
  <c r="BI21" i="8"/>
  <c r="BI20" i="8"/>
  <c r="BI7" i="8"/>
  <c r="BI19" i="8"/>
  <c r="BI18" i="8"/>
  <c r="BI17" i="8"/>
  <c r="BI16" i="8"/>
  <c r="BI15" i="8"/>
  <c r="BI14" i="8"/>
  <c r="BI10" i="8"/>
  <c r="BI9" i="8"/>
  <c r="BI8" i="8"/>
  <c r="BI62" i="5"/>
  <c r="BI53" i="5"/>
  <c r="BI47" i="5"/>
  <c r="BI46" i="5"/>
  <c r="BI31" i="5"/>
  <c r="BI26" i="5"/>
  <c r="BI21" i="5"/>
  <c r="BI14" i="5"/>
  <c r="BI9" i="5"/>
  <c r="L21" i="25" s="1"/>
  <c r="N21" i="25" l="1"/>
  <c r="O21" i="25" s="1"/>
  <c r="BN10" i="5"/>
  <c r="BJ127" i="8"/>
  <c r="BN126" i="8"/>
  <c r="BJ24" i="5"/>
  <c r="BJ29" i="5"/>
  <c r="BJ34" i="5"/>
  <c r="BH43" i="19"/>
  <c r="BH62" i="5" l="1"/>
  <c r="BH53" i="5"/>
  <c r="BH21" i="5"/>
  <c r="BH14" i="5"/>
  <c r="BH31" i="5"/>
  <c r="BH26" i="5"/>
  <c r="BI29" i="5" s="1"/>
  <c r="BH47" i="5"/>
  <c r="BH46" i="5"/>
  <c r="BH9" i="5"/>
  <c r="L20" i="25" s="1"/>
  <c r="N20" i="25" s="1"/>
  <c r="O20" i="25" s="1"/>
  <c r="BH25" i="12"/>
  <c r="BI25" i="12" s="1"/>
  <c r="BJ25" i="12" s="1"/>
  <c r="BH76" i="8"/>
  <c r="BH43" i="8"/>
  <c r="BH37" i="8"/>
  <c r="BH35" i="8"/>
  <c r="BH123" i="8" s="1"/>
  <c r="BH30" i="8"/>
  <c r="BH29" i="8"/>
  <c r="BH116" i="8" s="1"/>
  <c r="BH28" i="8"/>
  <c r="BH110" i="8" s="1"/>
  <c r="BH27" i="8"/>
  <c r="BH103" i="8" s="1"/>
  <c r="BH21" i="8"/>
  <c r="BH20" i="8"/>
  <c r="BH19" i="8"/>
  <c r="BH18" i="8"/>
  <c r="BH100" i="8" s="1"/>
  <c r="BH17" i="8"/>
  <c r="BH16" i="8"/>
  <c r="BH15" i="8"/>
  <c r="BH14" i="8"/>
  <c r="BH9" i="8"/>
  <c r="BH69" i="8" s="1"/>
  <c r="BH8" i="8"/>
  <c r="BH7" i="8"/>
  <c r="BH129" i="8" l="1"/>
  <c r="BH46" i="19"/>
  <c r="BM10" i="5"/>
  <c r="BI34" i="5"/>
  <c r="BI24" i="5"/>
  <c r="BI175" i="16" l="1"/>
  <c r="AU137" i="16" l="1"/>
  <c r="BA134" i="16"/>
  <c r="BF134" i="16"/>
  <c r="AW134" i="16" l="1"/>
  <c r="AW136" i="16"/>
  <c r="AX136" i="16"/>
  <c r="AX141" i="16" s="1"/>
  <c r="AY136" i="16"/>
  <c r="AZ137" i="16"/>
  <c r="AZ136" i="16"/>
  <c r="AW161" i="16"/>
  <c r="BB136" i="16"/>
  <c r="BC136" i="16"/>
  <c r="BD136" i="16"/>
  <c r="BE138" i="16"/>
  <c r="BE137" i="16"/>
  <c r="BE136" i="16"/>
  <c r="BG136" i="16"/>
  <c r="BD141" i="16" l="1"/>
  <c r="BG147" i="16"/>
  <c r="BG141" i="16"/>
  <c r="BH141" i="16"/>
  <c r="BC161" i="16"/>
  <c r="BB141" i="16"/>
  <c r="AZ153" i="16"/>
  <c r="AZ164" i="16"/>
  <c r="AZ141" i="16"/>
  <c r="BJ152" i="16"/>
  <c r="BE141" i="16"/>
  <c r="BJ153" i="16"/>
  <c r="AY137" i="16"/>
  <c r="AZ142" i="16" s="1"/>
  <c r="AY141" i="16"/>
  <c r="BE143" i="16"/>
  <c r="BG143" i="16"/>
  <c r="AW164" i="16"/>
  <c r="AW141" i="16"/>
  <c r="BC141" i="16"/>
  <c r="AZ161" i="16"/>
  <c r="AY164" i="16"/>
  <c r="BH161" i="16"/>
  <c r="BL152" i="16"/>
  <c r="BG157" i="16"/>
  <c r="BH157" i="16"/>
  <c r="BC137" i="16"/>
  <c r="BH152" i="16"/>
  <c r="BE153" i="16"/>
  <c r="BD137" i="16"/>
  <c r="BI152" i="16"/>
  <c r="BB134" i="16"/>
  <c r="BG137" i="16"/>
  <c r="BG164" i="16"/>
  <c r="BE164" i="16"/>
  <c r="BG161" i="16"/>
  <c r="AW137" i="16"/>
  <c r="BE161" i="16"/>
  <c r="BD164" i="16"/>
  <c r="AZ146" i="16"/>
  <c r="BB137" i="16"/>
  <c r="BB142" i="16" s="1"/>
  <c r="BC164" i="16"/>
  <c r="BG152" i="16"/>
  <c r="BB164" i="16"/>
  <c r="AY161" i="16"/>
  <c r="AZ139" i="16"/>
  <c r="BD152" i="16"/>
  <c r="BE139" i="16"/>
  <c r="BC152" i="16"/>
  <c r="AX164" i="16"/>
  <c r="AX137" i="16"/>
  <c r="BD161" i="16"/>
  <c r="AX161" i="16"/>
  <c r="BB152" i="16"/>
  <c r="BE152" i="16"/>
  <c r="BB161" i="16"/>
  <c r="BE146" i="16"/>
  <c r="AY139" i="16" l="1"/>
  <c r="AZ144" i="16" s="1"/>
  <c r="AY175" i="16"/>
  <c r="AX142" i="16"/>
  <c r="BD139" i="16"/>
  <c r="BD142" i="16"/>
  <c r="AY142" i="16"/>
  <c r="BH153" i="16"/>
  <c r="BC142" i="16"/>
  <c r="BG142" i="16"/>
  <c r="BH142" i="16"/>
  <c r="AW175" i="16"/>
  <c r="AW142" i="16"/>
  <c r="BE142" i="16"/>
  <c r="BG144" i="16"/>
  <c r="AZ175" i="16"/>
  <c r="BC175" i="16"/>
  <c r="BC139" i="16"/>
  <c r="BD153" i="16"/>
  <c r="AX139" i="16"/>
  <c r="BE175" i="16"/>
  <c r="BH175" i="16"/>
  <c r="BL153" i="16"/>
  <c r="BG158" i="16"/>
  <c r="BH158" i="16"/>
  <c r="BD175" i="16"/>
  <c r="BI153" i="16"/>
  <c r="AW139" i="16"/>
  <c r="AW144" i="16" s="1"/>
  <c r="BG175" i="16"/>
  <c r="BG153" i="16"/>
  <c r="BB175" i="16"/>
  <c r="AX175" i="16"/>
  <c r="BC153" i="16"/>
  <c r="BB139" i="16"/>
  <c r="BB144" i="16" s="1"/>
  <c r="BB153" i="16"/>
  <c r="BG123" i="16"/>
  <c r="BD144" i="16" l="1"/>
  <c r="AX144" i="16"/>
  <c r="BE144" i="16"/>
  <c r="BC144" i="16"/>
  <c r="AY144" i="16"/>
  <c r="BG44" i="19"/>
  <c r="BG43" i="19"/>
  <c r="BF129" i="16" l="1"/>
  <c r="BG51" i="12"/>
  <c r="BH51" i="12" s="1"/>
  <c r="BI51" i="12" s="1"/>
  <c r="BJ51" i="12" s="1"/>
  <c r="BG46" i="12"/>
  <c r="BH46" i="12" s="1"/>
  <c r="BI46" i="12" s="1"/>
  <c r="BJ46" i="12" s="1"/>
  <c r="BG42" i="12"/>
  <c r="BH42" i="12" s="1"/>
  <c r="BI42" i="12" s="1"/>
  <c r="BJ42" i="12" s="1"/>
  <c r="BG31" i="12"/>
  <c r="BH31" i="12" s="1"/>
  <c r="BI31" i="12" s="1"/>
  <c r="BJ31" i="12" s="1"/>
  <c r="BG30" i="12"/>
  <c r="BH30" i="12" s="1"/>
  <c r="BI30" i="12" s="1"/>
  <c r="BJ30" i="12" s="1"/>
  <c r="BG32" i="12"/>
  <c r="BH32" i="12" s="1"/>
  <c r="BI32" i="12" s="1"/>
  <c r="BG23" i="12"/>
  <c r="BH23" i="12" s="1"/>
  <c r="BI23" i="12" s="1"/>
  <c r="BJ23" i="12" s="1"/>
  <c r="BG22" i="12"/>
  <c r="BH22" i="12" s="1"/>
  <c r="BI22" i="12" s="1"/>
  <c r="BJ22" i="12" s="1"/>
  <c r="BG21" i="12"/>
  <c r="BH21" i="12" s="1"/>
  <c r="BI21" i="12" s="1"/>
  <c r="BJ21" i="12" s="1"/>
  <c r="BG19" i="12"/>
  <c r="BH19" i="12" s="1"/>
  <c r="BI19" i="12" s="1"/>
  <c r="BJ19" i="12" s="1"/>
  <c r="BG18" i="12"/>
  <c r="BH18" i="12" s="1"/>
  <c r="BI18" i="12" s="1"/>
  <c r="BJ18" i="12" s="1"/>
  <c r="BG17" i="12"/>
  <c r="BH17" i="12" s="1"/>
  <c r="BI17" i="12" s="1"/>
  <c r="BJ17" i="12" s="1"/>
  <c r="BG13" i="12"/>
  <c r="BH13" i="12" s="1"/>
  <c r="BI13" i="12" s="1"/>
  <c r="BJ13" i="12" s="1"/>
  <c r="BG11" i="12"/>
  <c r="BH11" i="12" s="1"/>
  <c r="BI11" i="12" s="1"/>
  <c r="BJ11" i="12" s="1"/>
  <c r="BG9" i="12"/>
  <c r="BH9" i="12" s="1"/>
  <c r="BI9" i="12" s="1"/>
  <c r="BJ9" i="12" s="1"/>
  <c r="BG8" i="12"/>
  <c r="BH8" i="12" s="1"/>
  <c r="BI8" i="12" s="1"/>
  <c r="BJ8" i="12" s="1"/>
  <c r="BG7" i="12"/>
  <c r="BH7" i="12" s="1"/>
  <c r="BI7" i="12" s="1"/>
  <c r="BJ7" i="12" s="1"/>
  <c r="BG43" i="8"/>
  <c r="BG39" i="8"/>
  <c r="BG37" i="8"/>
  <c r="BG35" i="8"/>
  <c r="BG30" i="8"/>
  <c r="BG29" i="8"/>
  <c r="BG116" i="8" s="1"/>
  <c r="BG28" i="8"/>
  <c r="BG110" i="8" s="1"/>
  <c r="BH114" i="8" s="1"/>
  <c r="BG27" i="8"/>
  <c r="BG103" i="8" s="1"/>
  <c r="BH107" i="8" s="1"/>
  <c r="BG21" i="8"/>
  <c r="BG20" i="8"/>
  <c r="BG19" i="8"/>
  <c r="BG18" i="8"/>
  <c r="BG100" i="8" s="1"/>
  <c r="BG17" i="8"/>
  <c r="BG16" i="8"/>
  <c r="BG15" i="8"/>
  <c r="BG14" i="8"/>
  <c r="BG10" i="8"/>
  <c r="BG76" i="8" s="1"/>
  <c r="BH80" i="8" s="1"/>
  <c r="BG9" i="8"/>
  <c r="BG69" i="8" s="1"/>
  <c r="BH73" i="8" s="1"/>
  <c r="BG8" i="8"/>
  <c r="BG7" i="8"/>
  <c r="BG53" i="5"/>
  <c r="BG26" i="5"/>
  <c r="BH29" i="5" s="1"/>
  <c r="BG21" i="5"/>
  <c r="BH24" i="5" s="1"/>
  <c r="BG14" i="5"/>
  <c r="BG31" i="5"/>
  <c r="BH34" i="5" s="1"/>
  <c r="BG62" i="5"/>
  <c r="BG47" i="5"/>
  <c r="BG46" i="5"/>
  <c r="BG45" i="5"/>
  <c r="BG9" i="5"/>
  <c r="L19" i="25" s="1"/>
  <c r="N19" i="25" s="1"/>
  <c r="O19" i="25" s="1"/>
  <c r="BG46" i="19" l="1"/>
  <c r="BL10" i="5"/>
  <c r="BJ32" i="12"/>
  <c r="BJ83" i="8" s="1"/>
  <c r="BI83" i="8"/>
  <c r="BG11" i="14"/>
  <c r="BG123" i="8"/>
  <c r="BG129" i="8" s="1"/>
  <c r="BU59" i="16" l="1"/>
  <c r="BU32" i="16"/>
  <c r="BU5" i="16"/>
  <c r="BU60" i="16" s="1"/>
  <c r="BT5" i="16"/>
  <c r="BT60" i="16" s="1"/>
  <c r="BS5" i="16"/>
  <c r="BS60" i="16" s="1"/>
  <c r="BR5" i="16"/>
  <c r="BR33" i="16" s="1"/>
  <c r="BQ5" i="16"/>
  <c r="BQ60" i="16" s="1"/>
  <c r="BQ4" i="16"/>
  <c r="BQ59" i="16" s="1"/>
  <c r="BU191" i="5"/>
  <c r="BT191" i="5"/>
  <c r="BS191" i="5"/>
  <c r="BR191" i="5"/>
  <c r="BQ191" i="5"/>
  <c r="BU190" i="5"/>
  <c r="BQ190" i="5"/>
  <c r="BU135" i="5"/>
  <c r="BT135" i="5"/>
  <c r="BS135" i="5"/>
  <c r="BR135" i="5"/>
  <c r="BQ135" i="5"/>
  <c r="BU134" i="5"/>
  <c r="BQ134" i="5"/>
  <c r="BU85" i="5"/>
  <c r="BT85" i="5"/>
  <c r="BS85" i="5"/>
  <c r="BR85" i="5"/>
  <c r="BQ85" i="5"/>
  <c r="BU84" i="5"/>
  <c r="BQ84" i="5"/>
  <c r="BT66" i="12"/>
  <c r="BS66" i="12"/>
  <c r="BR66" i="12"/>
  <c r="BQ66" i="12"/>
  <c r="BU56" i="12"/>
  <c r="BT54" i="12"/>
  <c r="BS54" i="12"/>
  <c r="BR54" i="12"/>
  <c r="BQ54" i="12"/>
  <c r="BU52" i="12"/>
  <c r="BU51" i="12"/>
  <c r="BU50" i="12"/>
  <c r="BU49" i="12"/>
  <c r="BU48" i="12"/>
  <c r="BU47" i="12"/>
  <c r="BU66" i="12" s="1"/>
  <c r="BU46" i="12"/>
  <c r="BU45" i="12"/>
  <c r="BU44" i="12"/>
  <c r="BU43" i="12"/>
  <c r="BU42" i="12"/>
  <c r="BU41" i="12"/>
  <c r="BU36" i="12"/>
  <c r="BU34" i="12"/>
  <c r="BU33" i="12"/>
  <c r="BU31" i="12"/>
  <c r="BU30" i="12"/>
  <c r="BU16" i="12"/>
  <c r="BU15" i="12"/>
  <c r="BU14" i="12"/>
  <c r="BU13" i="12"/>
  <c r="BU12" i="12"/>
  <c r="BU10" i="12"/>
  <c r="BU9" i="12"/>
  <c r="BT5" i="12"/>
  <c r="BS5" i="12"/>
  <c r="BR5" i="12"/>
  <c r="BQ5" i="12"/>
  <c r="BU132" i="8"/>
  <c r="BU66" i="8"/>
  <c r="BU64" i="8"/>
  <c r="BU5" i="8"/>
  <c r="BU5" i="12" s="1"/>
  <c r="BM16" i="6"/>
  <c r="BN16" i="6"/>
  <c r="BO16" i="6"/>
  <c r="BP16" i="6"/>
  <c r="BL16" i="6"/>
  <c r="BP17" i="6"/>
  <c r="BT70" i="8"/>
  <c r="BT104" i="8"/>
  <c r="BQ16" i="6" l="1"/>
  <c r="BS16" i="6"/>
  <c r="BU16" i="6"/>
  <c r="BT16" i="6"/>
  <c r="BM18" i="6"/>
  <c r="BR16" i="6"/>
  <c r="BM20" i="6"/>
  <c r="BL18" i="6"/>
  <c r="BO18" i="6"/>
  <c r="BS33" i="16"/>
  <c r="BU54" i="12"/>
  <c r="BQ33" i="16"/>
  <c r="BP18" i="6"/>
  <c r="BR60" i="16"/>
  <c r="BT33" i="16"/>
  <c r="BU33" i="16"/>
  <c r="BQ32" i="16"/>
  <c r="BL20" i="6"/>
  <c r="BN20" i="6"/>
  <c r="BO20" i="6"/>
  <c r="BP20" i="6" s="1"/>
  <c r="BN18" i="6"/>
  <c r="AW69" i="5"/>
  <c r="AY69" i="5"/>
  <c r="AX69" i="5"/>
  <c r="BC69" i="5"/>
  <c r="BD69" i="5"/>
  <c r="BE69" i="5"/>
  <c r="BF69" i="5" s="1"/>
  <c r="AU69" i="5"/>
  <c r="AV69" i="5" s="1"/>
  <c r="AZ69" i="5"/>
  <c r="BA69" i="5" s="1"/>
  <c r="BX16" i="6" l="1"/>
  <c r="BZ16" i="6"/>
  <c r="BV16" i="6"/>
  <c r="BY16" i="6"/>
  <c r="BW16" i="6"/>
  <c r="BY20" i="6"/>
  <c r="BZ20" i="6" s="1"/>
  <c r="BZ18" i="6"/>
  <c r="BX20" i="6"/>
  <c r="BX18" i="6"/>
  <c r="BV20" i="6"/>
  <c r="BV18" i="6"/>
  <c r="BS20" i="6"/>
  <c r="BQ20" i="6"/>
  <c r="BS18" i="6"/>
  <c r="BT18" i="6"/>
  <c r="BQ18" i="6"/>
  <c r="BT20" i="6"/>
  <c r="BU20" i="6" s="1"/>
  <c r="BU18" i="6"/>
  <c r="BR20" i="6"/>
  <c r="BR18" i="6"/>
  <c r="BE68" i="16"/>
  <c r="BE65" i="16"/>
  <c r="BE64" i="16"/>
  <c r="BF51" i="12"/>
  <c r="BF46" i="12"/>
  <c r="BF30" i="12"/>
  <c r="BF35" i="12"/>
  <c r="BF32" i="12"/>
  <c r="BF31" i="12"/>
  <c r="BF23" i="12"/>
  <c r="BF22" i="12"/>
  <c r="BF21" i="12"/>
  <c r="BF19" i="12"/>
  <c r="BF9" i="12"/>
  <c r="BF8" i="12"/>
  <c r="BF7" i="12"/>
  <c r="BE39" i="8"/>
  <c r="BE37" i="8"/>
  <c r="BE35" i="8"/>
  <c r="BE30" i="8"/>
  <c r="BE29" i="8"/>
  <c r="BE116" i="8" s="1"/>
  <c r="BJ119" i="8" s="1"/>
  <c r="BE28" i="8"/>
  <c r="BE110" i="8" s="1"/>
  <c r="BE27" i="8"/>
  <c r="BE103" i="8" s="1"/>
  <c r="BG107" i="8" s="1"/>
  <c r="BE21" i="8"/>
  <c r="BE20" i="8"/>
  <c r="BE19" i="8"/>
  <c r="BE18" i="8"/>
  <c r="BG93" i="8" s="1"/>
  <c r="BE17" i="8"/>
  <c r="BE16" i="8"/>
  <c r="BE15" i="8"/>
  <c r="BG82" i="8" s="1"/>
  <c r="BE14" i="8"/>
  <c r="BE10" i="8"/>
  <c r="BE76" i="8" s="1"/>
  <c r="BG80" i="8" s="1"/>
  <c r="BE9" i="8"/>
  <c r="BE69" i="8" s="1"/>
  <c r="BG73" i="8" s="1"/>
  <c r="BE8" i="8"/>
  <c r="BE7" i="8"/>
  <c r="BE62" i="5"/>
  <c r="BE53" i="5"/>
  <c r="BE26" i="5"/>
  <c r="BE21" i="5"/>
  <c r="BE14" i="5"/>
  <c r="BE31" i="5"/>
  <c r="BE47" i="5"/>
  <c r="BE46" i="5"/>
  <c r="BE9" i="5"/>
  <c r="BD45" i="5"/>
  <c r="BE43" i="12"/>
  <c r="BE44" i="12"/>
  <c r="BE45" i="12"/>
  <c r="BE47" i="12"/>
  <c r="BE48" i="12"/>
  <c r="BE49" i="12"/>
  <c r="BE50" i="12"/>
  <c r="BE33" i="12"/>
  <c r="BE34" i="12"/>
  <c r="BE36" i="12"/>
  <c r="BQ22" i="6"/>
  <c r="BW18" i="6" l="1"/>
  <c r="BW20" i="6"/>
  <c r="BY18" i="6"/>
  <c r="BJ10" i="5"/>
  <c r="BG114" i="8"/>
  <c r="BJ113" i="8"/>
  <c r="BG127" i="8"/>
  <c r="BJ126" i="8"/>
  <c r="BG24" i="5"/>
  <c r="BG29" i="5"/>
  <c r="BG34" i="5"/>
  <c r="BE9" i="16"/>
  <c r="BE123" i="8"/>
  <c r="BE79" i="16"/>
  <c r="BE96" i="8" s="1"/>
  <c r="BB5" i="14"/>
  <c r="BV22" i="6"/>
  <c r="BF5" i="8" l="1"/>
  <c r="BP64" i="8" l="1"/>
  <c r="BK64" i="8"/>
  <c r="BD44" i="19" l="1"/>
  <c r="BD43" i="19"/>
  <c r="W11" i="7" l="1"/>
  <c r="X11" i="7" s="1"/>
  <c r="BD68" i="16"/>
  <c r="BD78" i="16"/>
  <c r="BD65" i="16"/>
  <c r="BD79" i="16" s="1"/>
  <c r="BD64" i="16"/>
  <c r="BD35" i="12"/>
  <c r="BE35" i="12" s="1"/>
  <c r="BE94" i="8" s="1"/>
  <c r="BD43" i="8"/>
  <c r="BD39" i="8"/>
  <c r="BD37" i="8"/>
  <c r="BD35" i="8"/>
  <c r="BD30" i="8"/>
  <c r="BD29" i="8"/>
  <c r="BD116" i="8" s="1"/>
  <c r="BD28" i="8"/>
  <c r="BD110" i="8" s="1"/>
  <c r="BE114" i="8" s="1"/>
  <c r="BD27" i="8"/>
  <c r="BD103" i="8" s="1"/>
  <c r="BE107" i="8" s="1"/>
  <c r="BD21" i="8"/>
  <c r="BD20" i="8"/>
  <c r="BD19" i="8"/>
  <c r="BD18" i="8"/>
  <c r="BD17" i="8"/>
  <c r="BD16" i="8"/>
  <c r="BD15" i="8"/>
  <c r="BD14" i="8"/>
  <c r="BD10" i="8"/>
  <c r="BD76" i="8" s="1"/>
  <c r="BE80" i="8" s="1"/>
  <c r="BD9" i="8"/>
  <c r="BD69" i="8" s="1"/>
  <c r="BE73" i="8" s="1"/>
  <c r="BD8" i="8"/>
  <c r="BD7" i="8"/>
  <c r="BV164" i="5" l="1"/>
  <c r="BD100" i="8"/>
  <c r="BE93" i="8"/>
  <c r="BD94" i="8"/>
  <c r="BD123" i="8"/>
  <c r="BV114" i="5" l="1"/>
  <c r="BQ164" i="5"/>
  <c r="BQ220" i="5"/>
  <c r="BV90" i="16"/>
  <c r="BV220" i="5"/>
  <c r="BR220" i="5"/>
  <c r="BR164" i="5"/>
  <c r="BS164" i="5"/>
  <c r="BS220" i="5"/>
  <c r="BE100" i="8"/>
  <c r="BE98" i="8" s="1"/>
  <c r="BE97" i="8"/>
  <c r="BD53" i="5"/>
  <c r="BD21" i="5"/>
  <c r="BD14" i="5"/>
  <c r="BD31" i="5"/>
  <c r="BD26" i="5"/>
  <c r="BD62" i="5"/>
  <c r="BD47" i="5"/>
  <c r="BD46" i="5"/>
  <c r="BD9" i="5"/>
  <c r="BX164" i="5" l="1"/>
  <c r="BI10" i="5"/>
  <c r="BW90" i="16"/>
  <c r="BW164" i="5"/>
  <c r="BW220" i="5"/>
  <c r="BT164" i="5"/>
  <c r="BT220" i="5"/>
  <c r="BU46" i="5"/>
  <c r="BE24" i="5"/>
  <c r="BE29" i="5"/>
  <c r="BE34" i="5"/>
  <c r="BD11" i="14"/>
  <c r="AH57" i="5"/>
  <c r="AU57" i="5"/>
  <c r="AJ57" i="5"/>
  <c r="AT57" i="5"/>
  <c r="AQ57" i="5"/>
  <c r="AI57" i="5"/>
  <c r="AP57" i="5"/>
  <c r="AO57" i="5"/>
  <c r="AF57" i="5"/>
  <c r="AR57" i="5"/>
  <c r="AN57" i="5"/>
  <c r="AL57" i="5"/>
  <c r="AK57" i="5"/>
  <c r="AS57" i="5"/>
  <c r="AG57" i="5"/>
  <c r="AM57" i="5"/>
  <c r="BX90" i="16" l="1"/>
  <c r="CA46" i="5"/>
  <c r="CB46" i="5" s="1"/>
  <c r="BX220" i="5"/>
  <c r="AT8" i="21"/>
  <c r="AT10" i="21" s="1"/>
  <c r="BY164" i="5" l="1"/>
  <c r="BY220" i="5"/>
  <c r="BY90" i="16"/>
  <c r="CA220" i="5"/>
  <c r="BZ46" i="5"/>
  <c r="BZ164" i="5" s="1"/>
  <c r="CA114" i="5"/>
  <c r="CA90" i="16"/>
  <c r="CA164" i="5"/>
  <c r="CC46" i="5"/>
  <c r="CB220" i="5"/>
  <c r="CB90" i="16"/>
  <c r="CB164" i="5"/>
  <c r="BC44" i="19"/>
  <c r="BC43" i="19"/>
  <c r="BZ90" i="16" l="1"/>
  <c r="CD46" i="5"/>
  <c r="CE46" i="5" s="1"/>
  <c r="CC220" i="5"/>
  <c r="CC90" i="16"/>
  <c r="CC164" i="5"/>
  <c r="BC9" i="14"/>
  <c r="BC8" i="14"/>
  <c r="CE90" i="16" l="1"/>
  <c r="CE164" i="5"/>
  <c r="CD220" i="5"/>
  <c r="CD90" i="16"/>
  <c r="CD164" i="5"/>
  <c r="BC26" i="5"/>
  <c r="BC64" i="16"/>
  <c r="BC68" i="16"/>
  <c r="BC89" i="16"/>
  <c r="BC79" i="16"/>
  <c r="BC78" i="16"/>
  <c r="BC94" i="8"/>
  <c r="BC43" i="8"/>
  <c r="BC39" i="8"/>
  <c r="BC37" i="8"/>
  <c r="BC35" i="8"/>
  <c r="BC30" i="8"/>
  <c r="BC29" i="8"/>
  <c r="BC116" i="8" s="1"/>
  <c r="BH119" i="8" s="1"/>
  <c r="BC28" i="8"/>
  <c r="BC110" i="8" s="1"/>
  <c r="BH113" i="8" s="1"/>
  <c r="BC27" i="8"/>
  <c r="BC103" i="8" s="1"/>
  <c r="BH106" i="8" s="1"/>
  <c r="BC21" i="8"/>
  <c r="BC20" i="8"/>
  <c r="BC19" i="8"/>
  <c r="BC18" i="8"/>
  <c r="BC100" i="8" s="1"/>
  <c r="BC17" i="8"/>
  <c r="BC16" i="8"/>
  <c r="BC15" i="8"/>
  <c r="BE82" i="8" s="1"/>
  <c r="BC14" i="8"/>
  <c r="BC10" i="8"/>
  <c r="BC76" i="8" s="1"/>
  <c r="BH79" i="8" s="1"/>
  <c r="BC9" i="8"/>
  <c r="BC69" i="8" s="1"/>
  <c r="BC8" i="8"/>
  <c r="BC7" i="8"/>
  <c r="BC14" i="5"/>
  <c r="BC53" i="5"/>
  <c r="BC31" i="5"/>
  <c r="BC21" i="5"/>
  <c r="BC62" i="5"/>
  <c r="BC47" i="5"/>
  <c r="BC46" i="5"/>
  <c r="BC45" i="5"/>
  <c r="BC83" i="16" s="1"/>
  <c r="BC9" i="5"/>
  <c r="BH10" i="5" l="1"/>
  <c r="BE127" i="8"/>
  <c r="BH126" i="8"/>
  <c r="BD73" i="8"/>
  <c r="BH72" i="8"/>
  <c r="BD107" i="8"/>
  <c r="BD114" i="8"/>
  <c r="BD80" i="8"/>
  <c r="BD24" i="5"/>
  <c r="BC123" i="8"/>
  <c r="BD34" i="5"/>
  <c r="BD29" i="5"/>
  <c r="BC11" i="14"/>
  <c r="BK163" i="5" l="1"/>
  <c r="BB44" i="19"/>
  <c r="BB43" i="19"/>
  <c r="BB78" i="16" l="1"/>
  <c r="BE86" i="8" s="1"/>
  <c r="BE87" i="8" s="1"/>
  <c r="BB68" i="16"/>
  <c r="BB65" i="16"/>
  <c r="BB79" i="16" s="1"/>
  <c r="BB9" i="14"/>
  <c r="BB8" i="14"/>
  <c r="BD8" i="14" s="1"/>
  <c r="BB51" i="12"/>
  <c r="BB46" i="12"/>
  <c r="BB42" i="12"/>
  <c r="BB94" i="8"/>
  <c r="BB32" i="12"/>
  <c r="BB31" i="12"/>
  <c r="BB30" i="12"/>
  <c r="BC30" i="12" s="1"/>
  <c r="BD30" i="12" s="1"/>
  <c r="BB23" i="12"/>
  <c r="BC23" i="12" s="1"/>
  <c r="BD23" i="12" s="1"/>
  <c r="BB22" i="12"/>
  <c r="BC22" i="12" s="1"/>
  <c r="BD22" i="12" s="1"/>
  <c r="BB21" i="12"/>
  <c r="BC21" i="12" s="1"/>
  <c r="BD21" i="12" s="1"/>
  <c r="BB19" i="12"/>
  <c r="BC19" i="12" s="1"/>
  <c r="BD19" i="12" s="1"/>
  <c r="BB18" i="12"/>
  <c r="BC18" i="12" s="1"/>
  <c r="BD18" i="12" s="1"/>
  <c r="BB17" i="12"/>
  <c r="BC17" i="12" s="1"/>
  <c r="BD17" i="12" s="1"/>
  <c r="BB13" i="12"/>
  <c r="BC13" i="12" s="1"/>
  <c r="BD13" i="12" s="1"/>
  <c r="BB11" i="12"/>
  <c r="BB10" i="12"/>
  <c r="BC10" i="12" s="1"/>
  <c r="BD10" i="12" s="1"/>
  <c r="BB9" i="12"/>
  <c r="BC9" i="12" s="1"/>
  <c r="BD9" i="12" s="1"/>
  <c r="BB8" i="12"/>
  <c r="BB7" i="12"/>
  <c r="BB86" i="8"/>
  <c r="BB43" i="8"/>
  <c r="BB39" i="8"/>
  <c r="BB37" i="8"/>
  <c r="BB35" i="8"/>
  <c r="BB30" i="8"/>
  <c r="BB29" i="8"/>
  <c r="BB116" i="8" s="1"/>
  <c r="BG119" i="8" s="1"/>
  <c r="BB28" i="8"/>
  <c r="BB110" i="8" s="1"/>
  <c r="BG113" i="8" s="1"/>
  <c r="BB27" i="8"/>
  <c r="BB103" i="8" s="1"/>
  <c r="BB21" i="8"/>
  <c r="BB20" i="8"/>
  <c r="BB19" i="8"/>
  <c r="BB18" i="8"/>
  <c r="BD93" i="8" s="1"/>
  <c r="BB17" i="8"/>
  <c r="BB16" i="8"/>
  <c r="BB15" i="8"/>
  <c r="BD82" i="8" s="1"/>
  <c r="BB14" i="8"/>
  <c r="BB10" i="8"/>
  <c r="BB76" i="8" s="1"/>
  <c r="BG79" i="8" s="1"/>
  <c r="BB9" i="8"/>
  <c r="BB69" i="8" s="1"/>
  <c r="BG72" i="8" s="1"/>
  <c r="BB8" i="8"/>
  <c r="BB7" i="8"/>
  <c r="BB62" i="5"/>
  <c r="BB53" i="5"/>
  <c r="BB21" i="5"/>
  <c r="BB14" i="5"/>
  <c r="BB31" i="5"/>
  <c r="BB26" i="5"/>
  <c r="BB47" i="5"/>
  <c r="BB46" i="5"/>
  <c r="BB9" i="5"/>
  <c r="BB11" i="14" l="1"/>
  <c r="BG10" i="5"/>
  <c r="BC24" i="5"/>
  <c r="BD127" i="8"/>
  <c r="BG126" i="8"/>
  <c r="BC29" i="5"/>
  <c r="BC34" i="5"/>
  <c r="BC107" i="8"/>
  <c r="BG106" i="8"/>
  <c r="BC42" i="12"/>
  <c r="BD42" i="12" s="1"/>
  <c r="BE42" i="12" s="1"/>
  <c r="BC8" i="12"/>
  <c r="BD8" i="12" s="1"/>
  <c r="BC46" i="12"/>
  <c r="BD46" i="12" s="1"/>
  <c r="BC51" i="12"/>
  <c r="BD51" i="12" s="1"/>
  <c r="BE51" i="12" s="1"/>
  <c r="BB123" i="8"/>
  <c r="BC31" i="12"/>
  <c r="BD31" i="12" s="1"/>
  <c r="BB100" i="8"/>
  <c r="BC80" i="8"/>
  <c r="BC114" i="8"/>
  <c r="BC73" i="8"/>
  <c r="BB83" i="8"/>
  <c r="BC32" i="12"/>
  <c r="BD9" i="14"/>
  <c r="BD20" i="14"/>
  <c r="BC11" i="12"/>
  <c r="BB113" i="16"/>
  <c r="BC7" i="12"/>
  <c r="BD7" i="12" s="1"/>
  <c r="BE46" i="12" l="1"/>
  <c r="BE31" i="12"/>
  <c r="BE7" i="12"/>
  <c r="BE8" i="12"/>
  <c r="BD32" i="12"/>
  <c r="BC83" i="8"/>
  <c r="BD21" i="14"/>
  <c r="BD11" i="12"/>
  <c r="BC113" i="16"/>
  <c r="BL15" i="14"/>
  <c r="BN14" i="14"/>
  <c r="BL14" i="14"/>
  <c r="BL11" i="14"/>
  <c r="BQ17" i="14" s="1"/>
  <c r="BP6" i="14"/>
  <c r="BO6" i="14"/>
  <c r="BN6" i="14"/>
  <c r="BM6" i="14"/>
  <c r="BL6" i="14"/>
  <c r="BG15" i="14"/>
  <c r="BI14" i="14"/>
  <c r="BG14" i="14"/>
  <c r="BK11" i="14"/>
  <c r="BK6" i="14"/>
  <c r="BJ6" i="14"/>
  <c r="BI6" i="14"/>
  <c r="BH6" i="14"/>
  <c r="BG6" i="14"/>
  <c r="BG5" i="14"/>
  <c r="BN61" i="19"/>
  <c r="BL61" i="19"/>
  <c r="BP41" i="19"/>
  <c r="BO41" i="19"/>
  <c r="BN41" i="19"/>
  <c r="P3" i="23" s="1"/>
  <c r="BM41" i="19"/>
  <c r="O3" i="23" s="1"/>
  <c r="BL41" i="19"/>
  <c r="BG62" i="19"/>
  <c r="BI61" i="19"/>
  <c r="BH61" i="19"/>
  <c r="BG61" i="19"/>
  <c r="BI55" i="19"/>
  <c r="BH55" i="19"/>
  <c r="BK41" i="19"/>
  <c r="BJ41" i="19"/>
  <c r="BI41" i="19"/>
  <c r="BH41" i="19"/>
  <c r="BG41" i="19"/>
  <c r="BG40" i="19"/>
  <c r="BD113" i="16" l="1"/>
  <c r="BD115" i="16" s="1"/>
  <c r="BE11" i="12"/>
  <c r="BE113" i="16" s="1"/>
  <c r="BD83" i="8"/>
  <c r="BE32" i="12"/>
  <c r="BE83" i="8" s="1"/>
  <c r="BL17" i="14"/>
  <c r="BM23" i="14"/>
  <c r="AZ43" i="19"/>
  <c r="BN20" i="14" l="1"/>
  <c r="BM20" i="14"/>
  <c r="BM21" i="14"/>
  <c r="BE90" i="8"/>
  <c r="BE88" i="8" s="1"/>
  <c r="BP132" i="8"/>
  <c r="BP66" i="8"/>
  <c r="BO66" i="12"/>
  <c r="BN66" i="12"/>
  <c r="BM66" i="12"/>
  <c r="BL66" i="12"/>
  <c r="BP56" i="12"/>
  <c r="BO54" i="12"/>
  <c r="BN54" i="12"/>
  <c r="BM54" i="12"/>
  <c r="BL54" i="12"/>
  <c r="BP52" i="12"/>
  <c r="BP66" i="12"/>
  <c r="BP41" i="12"/>
  <c r="BO5" i="12"/>
  <c r="BN5" i="12"/>
  <c r="BM5" i="12"/>
  <c r="BL5" i="12"/>
  <c r="BP5" i="8"/>
  <c r="BP5" i="12" s="1"/>
  <c r="BP59" i="16"/>
  <c r="BP32" i="16"/>
  <c r="BP5" i="16"/>
  <c r="BP60" i="16" s="1"/>
  <c r="BO5" i="16"/>
  <c r="BO60" i="16" s="1"/>
  <c r="BN5" i="16"/>
  <c r="BN60" i="16" s="1"/>
  <c r="BM5" i="16"/>
  <c r="BM33" i="16" s="1"/>
  <c r="BL5" i="16"/>
  <c r="BL60" i="16" s="1"/>
  <c r="BL4" i="16"/>
  <c r="BL59" i="16" s="1"/>
  <c r="BM117" i="8"/>
  <c r="BM104" i="8"/>
  <c r="BL70" i="8"/>
  <c r="BL117" i="8"/>
  <c r="BL104" i="8"/>
  <c r="BM70" i="8"/>
  <c r="BP54" i="12" l="1"/>
  <c r="BM60" i="16"/>
  <c r="BN33" i="16"/>
  <c r="BO33" i="16"/>
  <c r="BP33" i="16"/>
  <c r="BL32" i="16"/>
  <c r="BL33" i="16"/>
  <c r="BP191" i="5"/>
  <c r="BO191" i="5"/>
  <c r="BN191" i="5"/>
  <c r="BM191" i="5"/>
  <c r="BL191" i="5"/>
  <c r="BP190" i="5"/>
  <c r="BL190" i="5"/>
  <c r="BP135" i="5"/>
  <c r="BO135" i="5"/>
  <c r="BN135" i="5"/>
  <c r="BM135" i="5"/>
  <c r="BL135" i="5"/>
  <c r="BP134" i="5"/>
  <c r="BL134" i="5"/>
  <c r="BP85" i="5"/>
  <c r="BO85" i="5"/>
  <c r="BN85" i="5"/>
  <c r="BM85" i="5"/>
  <c r="BL85" i="5"/>
  <c r="BP84" i="5"/>
  <c r="BL84" i="5"/>
  <c r="BG20" i="6"/>
  <c r="BJ18" i="6"/>
  <c r="BK17" i="6"/>
  <c r="BI18" i="6"/>
  <c r="BK18" i="6" l="1"/>
  <c r="BH20" i="6"/>
  <c r="BI20" i="6"/>
  <c r="BJ20" i="6"/>
  <c r="BK20" i="6" s="1"/>
  <c r="BH18" i="6"/>
  <c r="AZ83" i="16"/>
  <c r="AZ78" i="16"/>
  <c r="AY44" i="19" l="1"/>
  <c r="AY43" i="19"/>
  <c r="AY9" i="14"/>
  <c r="BD15" i="14" s="1"/>
  <c r="AY8" i="14"/>
  <c r="BD14" i="14" s="1"/>
  <c r="BA8" i="14"/>
  <c r="AY68" i="16"/>
  <c r="AZ65" i="16"/>
  <c r="AZ79" i="16" s="1"/>
  <c r="AZ39" i="8"/>
  <c r="AZ37" i="8"/>
  <c r="AZ35" i="8"/>
  <c r="AZ30" i="8"/>
  <c r="AZ29" i="8"/>
  <c r="AZ116" i="8" s="1"/>
  <c r="BE119" i="8" s="1"/>
  <c r="AZ28" i="8"/>
  <c r="AZ110" i="8" s="1"/>
  <c r="AZ27" i="8"/>
  <c r="AZ103" i="8" s="1"/>
  <c r="BE106" i="8" s="1"/>
  <c r="AZ21" i="8"/>
  <c r="AZ20" i="8"/>
  <c r="AZ19" i="8"/>
  <c r="AZ18" i="8"/>
  <c r="BB93" i="8" s="1"/>
  <c r="AZ17" i="8"/>
  <c r="AZ16" i="8"/>
  <c r="AZ15" i="8"/>
  <c r="BB82" i="8" s="1"/>
  <c r="AZ14" i="8"/>
  <c r="AZ10" i="8"/>
  <c r="AZ76" i="8" s="1"/>
  <c r="AZ9" i="8"/>
  <c r="AZ69" i="8" s="1"/>
  <c r="BE72" i="8" s="1"/>
  <c r="AZ8" i="8"/>
  <c r="AZ7" i="8"/>
  <c r="BA27" i="12"/>
  <c r="BA32" i="12"/>
  <c r="BB80" i="8" l="1"/>
  <c r="BE79" i="8"/>
  <c r="BB114" i="8"/>
  <c r="BE113" i="8"/>
  <c r="BB127" i="8"/>
  <c r="BE126" i="8"/>
  <c r="BB73" i="8"/>
  <c r="BB107" i="8"/>
  <c r="BB87" i="8"/>
  <c r="BB90" i="8"/>
  <c r="BB88" i="8" s="1"/>
  <c r="AZ123" i="8"/>
  <c r="BA58" i="12"/>
  <c r="BA38" i="12"/>
  <c r="BA51" i="12"/>
  <c r="BA47" i="12"/>
  <c r="BA46" i="12"/>
  <c r="BA42" i="12"/>
  <c r="AZ53" i="5"/>
  <c r="BA31" i="12"/>
  <c r="BA35" i="12"/>
  <c r="BA30" i="12"/>
  <c r="BA23" i="12"/>
  <c r="BA22" i="12"/>
  <c r="BA19" i="12"/>
  <c r="BA18" i="12"/>
  <c r="BA21" i="12"/>
  <c r="BA10" i="12"/>
  <c r="BA17" i="12"/>
  <c r="BA13" i="12"/>
  <c r="BA11" i="12"/>
  <c r="BA9" i="12"/>
  <c r="BA8" i="12"/>
  <c r="BA7" i="12"/>
  <c r="AZ21" i="5"/>
  <c r="AZ14" i="5"/>
  <c r="AZ62" i="5"/>
  <c r="AZ31" i="5"/>
  <c r="AZ26" i="5"/>
  <c r="AZ47" i="5"/>
  <c r="AZ46" i="5"/>
  <c r="AZ9" i="5"/>
  <c r="BE10" i="5" l="1"/>
  <c r="AZ110" i="16"/>
  <c r="BB29" i="5"/>
  <c r="AZ27" i="5"/>
  <c r="BB34" i="5"/>
  <c r="AZ32" i="5"/>
  <c r="BB24" i="5"/>
  <c r="AZ22" i="5"/>
  <c r="AZ46" i="19"/>
  <c r="AZ44" i="19" s="1"/>
  <c r="AZ107" i="16"/>
  <c r="AZ162" i="16" l="1"/>
  <c r="AZ163" i="16" s="1"/>
  <c r="AZ174" i="16"/>
  <c r="AZ176" i="16" s="1"/>
  <c r="AY78" i="16"/>
  <c r="AY65" i="16"/>
  <c r="AY79" i="16" s="1"/>
  <c r="AY53" i="5"/>
  <c r="AY21" i="5"/>
  <c r="AY14" i="5"/>
  <c r="AY43" i="8"/>
  <c r="AY39" i="8"/>
  <c r="AY37" i="8"/>
  <c r="AY35" i="8"/>
  <c r="AY30" i="8"/>
  <c r="AY29" i="8"/>
  <c r="AY116" i="8" s="1"/>
  <c r="AY28" i="8"/>
  <c r="AY110" i="8" s="1"/>
  <c r="AY27" i="8"/>
  <c r="AY103" i="8" s="1"/>
  <c r="AY21" i="8"/>
  <c r="AY20" i="8"/>
  <c r="AY19" i="8"/>
  <c r="AY18" i="8"/>
  <c r="AZ93" i="8" s="1"/>
  <c r="AY17" i="8"/>
  <c r="AY16" i="8"/>
  <c r="AY15" i="8"/>
  <c r="AY14" i="8"/>
  <c r="AY10" i="8"/>
  <c r="AY76" i="8" s="1"/>
  <c r="AY9" i="8"/>
  <c r="AY69" i="8" s="1"/>
  <c r="AY8" i="8"/>
  <c r="AY7" i="8"/>
  <c r="AY31" i="5"/>
  <c r="AZ34" i="5" s="1"/>
  <c r="AY26" i="5"/>
  <c r="AY62" i="5"/>
  <c r="AY47" i="5"/>
  <c r="AY46" i="5"/>
  <c r="AY45" i="5"/>
  <c r="AY83" i="16" s="1"/>
  <c r="AY9" i="5"/>
  <c r="BD10" i="5" s="1"/>
  <c r="AY90" i="16" l="1"/>
  <c r="BD79" i="8"/>
  <c r="AZ80" i="8"/>
  <c r="AZ29" i="5"/>
  <c r="BD119" i="8"/>
  <c r="BD72" i="8"/>
  <c r="AZ73" i="8"/>
  <c r="BD113" i="8"/>
  <c r="AZ114" i="8"/>
  <c r="BD126" i="8"/>
  <c r="AY123" i="8"/>
  <c r="BD106" i="8"/>
  <c r="AZ107" i="8"/>
  <c r="AZ24" i="5"/>
  <c r="AY22" i="5"/>
  <c r="AY32" i="5"/>
  <c r="AY27" i="5"/>
  <c r="AY9" i="16" l="1"/>
  <c r="AY110" i="16"/>
  <c r="BF16" i="6" l="1"/>
  <c r="BE16" i="6"/>
  <c r="BD16" i="6"/>
  <c r="BC16" i="6"/>
  <c r="BB16" i="6"/>
  <c r="BF17" i="6"/>
  <c r="BG17" i="6" s="1"/>
  <c r="BG18" i="6" l="1"/>
  <c r="BF18" i="6"/>
  <c r="BB20" i="6"/>
  <c r="BE18" i="6"/>
  <c r="BB18" i="6"/>
  <c r="BC20" i="6"/>
  <c r="BE20" i="6"/>
  <c r="BF20" i="6" s="1"/>
  <c r="BD20" i="6"/>
  <c r="BC18" i="6"/>
  <c r="BD18" i="6"/>
  <c r="AS9" i="14"/>
  <c r="AS8" i="14"/>
  <c r="AX9" i="14"/>
  <c r="AX8" i="14"/>
  <c r="AX44" i="19"/>
  <c r="AX43" i="19"/>
  <c r="AX62" i="5"/>
  <c r="AX47" i="5"/>
  <c r="AX68" i="16" l="1"/>
  <c r="AX65" i="16"/>
  <c r="AX79" i="16" s="1"/>
  <c r="AX78" i="16"/>
  <c r="AX53" i="5"/>
  <c r="AX67" i="16" s="1"/>
  <c r="AX21" i="5"/>
  <c r="AY24" i="5" s="1"/>
  <c r="AX14" i="5"/>
  <c r="AR36" i="12"/>
  <c r="AS36" i="12" s="1"/>
  <c r="AX43" i="8"/>
  <c r="AX39" i="8"/>
  <c r="AX37" i="8"/>
  <c r="AX35" i="8"/>
  <c r="AX30" i="8"/>
  <c r="AX29" i="8"/>
  <c r="AX116" i="8" s="1"/>
  <c r="AX28" i="8"/>
  <c r="AX110" i="8" s="1"/>
  <c r="AX27" i="8"/>
  <c r="AX103" i="8" s="1"/>
  <c r="AX21" i="8"/>
  <c r="AX20" i="8"/>
  <c r="AX19" i="8"/>
  <c r="AX18" i="8"/>
  <c r="AX100" i="8" s="1"/>
  <c r="AX17" i="8"/>
  <c r="AX16" i="8"/>
  <c r="AX15" i="8"/>
  <c r="AZ82" i="8" s="1"/>
  <c r="AX14" i="8"/>
  <c r="AX10" i="8"/>
  <c r="AX76" i="8" s="1"/>
  <c r="AX9" i="8"/>
  <c r="AX69" i="8" s="1"/>
  <c r="AX8" i="8"/>
  <c r="AX7" i="8"/>
  <c r="AX31" i="5"/>
  <c r="AY34" i="5" s="1"/>
  <c r="AX26" i="5"/>
  <c r="AY29" i="5" s="1"/>
  <c r="AX46" i="5"/>
  <c r="AX45" i="5"/>
  <c r="AX9" i="5"/>
  <c r="BC10" i="5" s="1"/>
  <c r="AX70" i="16" l="1"/>
  <c r="AX22" i="5"/>
  <c r="BC72" i="8"/>
  <c r="AY73" i="8"/>
  <c r="BC79" i="8"/>
  <c r="AY80" i="8"/>
  <c r="BC106" i="8"/>
  <c r="AY107" i="8"/>
  <c r="BC119" i="8"/>
  <c r="AX32" i="5"/>
  <c r="BC126" i="8"/>
  <c r="AZ127" i="8"/>
  <c r="BC113" i="8"/>
  <c r="AY114" i="8"/>
  <c r="AX33" i="5"/>
  <c r="AX28" i="5"/>
  <c r="AX123" i="8"/>
  <c r="AX10" i="5"/>
  <c r="AX27" i="5"/>
  <c r="AX23" i="5"/>
  <c r="AW9" i="14"/>
  <c r="AW8" i="14"/>
  <c r="AZ8" i="14" s="1"/>
  <c r="AW44" i="19"/>
  <c r="BA44" i="19" s="1"/>
  <c r="AW43" i="19"/>
  <c r="BA43" i="19" s="1"/>
  <c r="AR91" i="16"/>
  <c r="AR21" i="5"/>
  <c r="AR90" i="16"/>
  <c r="AW11" i="14" l="1"/>
  <c r="AW46" i="19"/>
  <c r="BA46" i="19"/>
  <c r="BK59" i="16"/>
  <c r="BK32" i="16"/>
  <c r="BK56" i="12"/>
  <c r="BJ54" i="12"/>
  <c r="BI54" i="12"/>
  <c r="BH54" i="12"/>
  <c r="BG54" i="12"/>
  <c r="BK52" i="12"/>
  <c r="BK66" i="12"/>
  <c r="BJ66" i="12"/>
  <c r="BI66" i="12"/>
  <c r="BH66" i="12"/>
  <c r="BG66" i="12"/>
  <c r="BK41" i="12"/>
  <c r="BJ5" i="12"/>
  <c r="BI5" i="12"/>
  <c r="BH5" i="12"/>
  <c r="BG5" i="12"/>
  <c r="BK132" i="8"/>
  <c r="BK66" i="8"/>
  <c r="BK5" i="8"/>
  <c r="BK5" i="12" s="1"/>
  <c r="BK5" i="16"/>
  <c r="BK33" i="16" s="1"/>
  <c r="BJ5" i="16"/>
  <c r="BJ33" i="16" s="1"/>
  <c r="BI5" i="16"/>
  <c r="BI60" i="16" s="1"/>
  <c r="BH5" i="16"/>
  <c r="BH60" i="16" s="1"/>
  <c r="BG5" i="16"/>
  <c r="BG33" i="16" s="1"/>
  <c r="BG4" i="16"/>
  <c r="BG59" i="16" s="1"/>
  <c r="BK191" i="5"/>
  <c r="BJ191" i="5"/>
  <c r="BI191" i="5"/>
  <c r="BH191" i="5"/>
  <c r="BG191" i="5"/>
  <c r="BK190" i="5"/>
  <c r="BG190" i="5"/>
  <c r="BK135" i="5"/>
  <c r="BJ135" i="5"/>
  <c r="BI135" i="5"/>
  <c r="BH135" i="5"/>
  <c r="BG135" i="5"/>
  <c r="BK134" i="5"/>
  <c r="BG134" i="5"/>
  <c r="BK85" i="5"/>
  <c r="BJ85" i="5"/>
  <c r="BI85" i="5"/>
  <c r="BH85" i="5"/>
  <c r="BG85" i="5"/>
  <c r="BK84" i="5"/>
  <c r="BG84" i="5"/>
  <c r="BJ104" i="8"/>
  <c r="BK101" i="8"/>
  <c r="BK70" i="8"/>
  <c r="BI104" i="8"/>
  <c r="BK117" i="8"/>
  <c r="BI70" i="8"/>
  <c r="BJ70" i="8"/>
  <c r="BK104" i="8"/>
  <c r="BH33" i="16" l="1"/>
  <c r="BI33" i="16"/>
  <c r="BG60" i="16"/>
  <c r="BK60" i="16"/>
  <c r="BK54" i="12"/>
  <c r="BJ60" i="16"/>
  <c r="BG32" i="16"/>
  <c r="AW78" i="16" l="1"/>
  <c r="AW86" i="8" s="1"/>
  <c r="AW68" i="16"/>
  <c r="AW65" i="16"/>
  <c r="AW79" i="16" s="1"/>
  <c r="AW53" i="5"/>
  <c r="AW67" i="16" s="1"/>
  <c r="AW21" i="5"/>
  <c r="AX24" i="5" s="1"/>
  <c r="AW14" i="5"/>
  <c r="AW47" i="12"/>
  <c r="AW46" i="12"/>
  <c r="AW42" i="12"/>
  <c r="AW51" i="12"/>
  <c r="AW35" i="12"/>
  <c r="AW36" i="12"/>
  <c r="AW32" i="12"/>
  <c r="AW31" i="12"/>
  <c r="AW30" i="12"/>
  <c r="AW25" i="12"/>
  <c r="AW23" i="12"/>
  <c r="AW22" i="12"/>
  <c r="AW21" i="12"/>
  <c r="AW19" i="12"/>
  <c r="AW18" i="12"/>
  <c r="AW17" i="12"/>
  <c r="AW16" i="12"/>
  <c r="AW13" i="12"/>
  <c r="AW11" i="12"/>
  <c r="AW10" i="12"/>
  <c r="AW9" i="12"/>
  <c r="AW8" i="12"/>
  <c r="AW81" i="16" s="1"/>
  <c r="AW7" i="12"/>
  <c r="AW43" i="8"/>
  <c r="AW39" i="8"/>
  <c r="AW37" i="8"/>
  <c r="AW36" i="8"/>
  <c r="AW35" i="8"/>
  <c r="AW30" i="8"/>
  <c r="AW29" i="8"/>
  <c r="AW116" i="8" s="1"/>
  <c r="BB119" i="8" s="1"/>
  <c r="AW28" i="8"/>
  <c r="AW110" i="8" s="1"/>
  <c r="BB113" i="8" s="1"/>
  <c r="AW27" i="8"/>
  <c r="AW103" i="8" s="1"/>
  <c r="BB106" i="8" s="1"/>
  <c r="AW19" i="8"/>
  <c r="AW18" i="8"/>
  <c r="AW100" i="8" s="1"/>
  <c r="AW21" i="8"/>
  <c r="AW20" i="8"/>
  <c r="AW17" i="8"/>
  <c r="AW16" i="8"/>
  <c r="AW15" i="8"/>
  <c r="AY82" i="8" s="1"/>
  <c r="AW14" i="8"/>
  <c r="AW10" i="8"/>
  <c r="AW76" i="8" s="1"/>
  <c r="BB79" i="8" s="1"/>
  <c r="AW9" i="8"/>
  <c r="AW69" i="8" s="1"/>
  <c r="BB72" i="8" s="1"/>
  <c r="AW8" i="8"/>
  <c r="AW7" i="8"/>
  <c r="AW62" i="5"/>
  <c r="AW47" i="5"/>
  <c r="AW46" i="5"/>
  <c r="AW45" i="5"/>
  <c r="AW83" i="16" s="1"/>
  <c r="AW31" i="5"/>
  <c r="AW26" i="5"/>
  <c r="AX29" i="5" s="1"/>
  <c r="AW9" i="5"/>
  <c r="AW23" i="5" l="1"/>
  <c r="AX17" i="12"/>
  <c r="AY17" i="12" s="1"/>
  <c r="AW107" i="16"/>
  <c r="BB10" i="5"/>
  <c r="AX11" i="5"/>
  <c r="AX7" i="12"/>
  <c r="AY7" i="12" s="1"/>
  <c r="AZ7" i="12" s="1"/>
  <c r="AX18" i="12"/>
  <c r="AY18" i="12" s="1"/>
  <c r="AX32" i="12"/>
  <c r="AX83" i="8" s="1"/>
  <c r="AW83" i="8"/>
  <c r="AW32" i="5"/>
  <c r="AX34" i="5"/>
  <c r="AX30" i="12"/>
  <c r="AY30" i="12" s="1"/>
  <c r="AX8" i="12"/>
  <c r="AX81" i="16" s="1"/>
  <c r="AX19" i="12"/>
  <c r="AY19" i="12" s="1"/>
  <c r="AX36" i="12"/>
  <c r="AY36" i="12" s="1"/>
  <c r="AX47" i="12"/>
  <c r="AY47" i="12" s="1"/>
  <c r="AW27" i="5"/>
  <c r="AW110" i="16"/>
  <c r="BA62" i="5"/>
  <c r="AX9" i="12"/>
  <c r="AY9" i="12" s="1"/>
  <c r="AX21" i="12"/>
  <c r="AY21" i="12" s="1"/>
  <c r="AX35" i="12"/>
  <c r="AX94" i="8" s="1"/>
  <c r="AW94" i="8"/>
  <c r="AW28" i="5"/>
  <c r="AW126" i="8"/>
  <c r="BB126" i="8"/>
  <c r="AY127" i="8"/>
  <c r="AX10" i="12"/>
  <c r="AY10" i="12" s="1"/>
  <c r="AX22" i="12"/>
  <c r="AY22" i="12" s="1"/>
  <c r="AX51" i="12"/>
  <c r="AY51" i="12" s="1"/>
  <c r="AX31" i="12"/>
  <c r="AY31" i="12" s="1"/>
  <c r="AW33" i="5"/>
  <c r="AX11" i="12"/>
  <c r="AX113" i="16" s="1"/>
  <c r="AX64" i="16" s="1"/>
  <c r="AX23" i="12"/>
  <c r="AY23" i="12" s="1"/>
  <c r="AX42" i="12"/>
  <c r="AY42" i="12" s="1"/>
  <c r="AX13" i="12"/>
  <c r="AY13" i="12" s="1"/>
  <c r="AX25" i="12"/>
  <c r="AY25" i="12" s="1"/>
  <c r="AX46" i="12"/>
  <c r="AY46" i="12" s="1"/>
  <c r="AW113" i="16"/>
  <c r="AW64" i="16" s="1"/>
  <c r="AW123" i="8"/>
  <c r="AW22" i="5"/>
  <c r="AW70" i="16"/>
  <c r="AW85" i="16" s="1"/>
  <c r="AW162" i="16" l="1"/>
  <c r="AW163" i="16" s="1"/>
  <c r="AW181" i="16" s="1"/>
  <c r="AW174" i="16"/>
  <c r="AW176" i="16" s="1"/>
  <c r="AY32" i="12"/>
  <c r="AY83" i="8" s="1"/>
  <c r="AW116" i="16"/>
  <c r="AY35" i="12"/>
  <c r="AZ35" i="12" s="1"/>
  <c r="AZ94" i="8" s="1"/>
  <c r="AY11" i="12"/>
  <c r="AZ11" i="12" s="1"/>
  <c r="AZ113" i="16" s="1"/>
  <c r="AY8" i="12"/>
  <c r="AV44" i="19"/>
  <c r="AV43" i="19"/>
  <c r="AV9" i="14"/>
  <c r="AV8" i="14"/>
  <c r="AZ32" i="12" l="1"/>
  <c r="AZ83" i="8" s="1"/>
  <c r="AY113" i="16"/>
  <c r="BD114" i="16" s="1"/>
  <c r="AZ8" i="12"/>
  <c r="AZ81" i="16" s="1"/>
  <c r="AY81" i="16"/>
  <c r="AZ64" i="16"/>
  <c r="AZ116" i="16"/>
  <c r="AP78" i="16"/>
  <c r="AP68" i="16"/>
  <c r="AU78" i="16"/>
  <c r="AU86" i="8" s="1"/>
  <c r="AU113" i="16"/>
  <c r="AU68" i="16"/>
  <c r="AU65" i="16"/>
  <c r="AU79" i="16" s="1"/>
  <c r="AU96" i="8" s="1"/>
  <c r="AQ62" i="5"/>
  <c r="AP62" i="5"/>
  <c r="AP53" i="5"/>
  <c r="AP67" i="16" s="1"/>
  <c r="AP31" i="5"/>
  <c r="AP26" i="5"/>
  <c r="AP21" i="5"/>
  <c r="AV62" i="5"/>
  <c r="AU62" i="5"/>
  <c r="AU110" i="16" s="1"/>
  <c r="AU53" i="5"/>
  <c r="AU67" i="16" s="1"/>
  <c r="AU21" i="5"/>
  <c r="AU14" i="5"/>
  <c r="AU16" i="12"/>
  <c r="AV16" i="12" s="1"/>
  <c r="AU51" i="12"/>
  <c r="AU50" i="12"/>
  <c r="AU49" i="12"/>
  <c r="AU48" i="12"/>
  <c r="AU47" i="12"/>
  <c r="AU46" i="12"/>
  <c r="AU45" i="12"/>
  <c r="AU44" i="12"/>
  <c r="AU43" i="12"/>
  <c r="AU42" i="12"/>
  <c r="AU41" i="12"/>
  <c r="AU35" i="12"/>
  <c r="AU94" i="8" s="1"/>
  <c r="AU36" i="12"/>
  <c r="AU32" i="12"/>
  <c r="AU83" i="8" s="1"/>
  <c r="AU31" i="12"/>
  <c r="AU30" i="12"/>
  <c r="AU25" i="12"/>
  <c r="AU24" i="12"/>
  <c r="AU23" i="12"/>
  <c r="AU22" i="12"/>
  <c r="AU21" i="12"/>
  <c r="AU20" i="12"/>
  <c r="AU19" i="12"/>
  <c r="AU18" i="12"/>
  <c r="AU17" i="12"/>
  <c r="AU13" i="12"/>
  <c r="AV13" i="12" s="1"/>
  <c r="AU11" i="12"/>
  <c r="AU10" i="12"/>
  <c r="AU9" i="12"/>
  <c r="AU8" i="12"/>
  <c r="AV8" i="12" s="1"/>
  <c r="AU7" i="12"/>
  <c r="AU43" i="8"/>
  <c r="AU37" i="8"/>
  <c r="AV37" i="8" s="1"/>
  <c r="AU39" i="8"/>
  <c r="AV39" i="8" s="1"/>
  <c r="AU36" i="8"/>
  <c r="AV36" i="8" s="1"/>
  <c r="AU35" i="8"/>
  <c r="AU30" i="8"/>
  <c r="AV30" i="8" s="1"/>
  <c r="AU29" i="8"/>
  <c r="AV29" i="8" s="1"/>
  <c r="AU28" i="8"/>
  <c r="AU110" i="8" s="1"/>
  <c r="AZ113" i="8" s="1"/>
  <c r="AU27" i="8"/>
  <c r="AU103" i="8" s="1"/>
  <c r="AZ106" i="8" s="1"/>
  <c r="AU19" i="8"/>
  <c r="AV19" i="8" s="1"/>
  <c r="AU18" i="8"/>
  <c r="AW93" i="8" s="1"/>
  <c r="AU21" i="8"/>
  <c r="AV21" i="8" s="1"/>
  <c r="AU20" i="8"/>
  <c r="AV20" i="8" s="1"/>
  <c r="AU17" i="8"/>
  <c r="AV17" i="8" s="1"/>
  <c r="AU16" i="8"/>
  <c r="AV16" i="8" s="1"/>
  <c r="AU15" i="8"/>
  <c r="AU90" i="8" s="1"/>
  <c r="AU14" i="8"/>
  <c r="AV14" i="8" s="1"/>
  <c r="AU10" i="8"/>
  <c r="AU76" i="8" s="1"/>
  <c r="AZ79" i="8" s="1"/>
  <c r="AU9" i="8"/>
  <c r="AU69" i="8" s="1"/>
  <c r="AZ72" i="8" s="1"/>
  <c r="AU8" i="8"/>
  <c r="AV8" i="8" s="1"/>
  <c r="AU7" i="8"/>
  <c r="AU31" i="5"/>
  <c r="AU26" i="5"/>
  <c r="AU47" i="5"/>
  <c r="AU46" i="5"/>
  <c r="AU45" i="5"/>
  <c r="AU83" i="16" s="1"/>
  <c r="AU9" i="5"/>
  <c r="AZ10" i="5" s="1"/>
  <c r="AV15" i="12"/>
  <c r="AV14" i="12"/>
  <c r="AV12" i="12"/>
  <c r="AU90" i="16" l="1"/>
  <c r="AY89" i="16"/>
  <c r="AU10" i="5"/>
  <c r="AW29" i="5"/>
  <c r="AZ28" i="5"/>
  <c r="AW24" i="5"/>
  <c r="AZ23" i="5"/>
  <c r="AW34" i="5"/>
  <c r="AZ33" i="5"/>
  <c r="AU123" i="8"/>
  <c r="AZ126" i="8"/>
  <c r="AU107" i="16"/>
  <c r="AU116" i="16" s="1"/>
  <c r="AU33" i="5"/>
  <c r="AU81" i="16"/>
  <c r="AU64" i="16"/>
  <c r="AZ114" i="16"/>
  <c r="AU116" i="8"/>
  <c r="AZ119" i="8" s="1"/>
  <c r="AU100" i="8"/>
  <c r="AW107" i="8"/>
  <c r="AW114" i="8"/>
  <c r="AW80" i="8"/>
  <c r="AW73" i="8"/>
  <c r="AV35" i="8"/>
  <c r="AX127" i="8" s="1"/>
  <c r="AW127" i="8"/>
  <c r="AU28" i="5"/>
  <c r="AU27" i="5"/>
  <c r="AU32" i="5"/>
  <c r="AU89" i="16"/>
  <c r="AU70" i="16"/>
  <c r="AU85" i="16" s="1"/>
  <c r="AU80" i="16"/>
  <c r="AU22" i="5"/>
  <c r="AU23" i="5"/>
  <c r="AW109" i="16" l="1"/>
  <c r="AZ108" i="16"/>
  <c r="AT15" i="19"/>
  <c r="AS15" i="19"/>
  <c r="AP9" i="14"/>
  <c r="AQ9" i="14" s="1"/>
  <c r="AP8" i="14"/>
  <c r="AQ8" i="14" s="1"/>
  <c r="AR9" i="14"/>
  <c r="AR8" i="14"/>
  <c r="AO78" i="16" l="1"/>
  <c r="AO91" i="16"/>
  <c r="AO68" i="16"/>
  <c r="AT68" i="16"/>
  <c r="AO65" i="16"/>
  <c r="AT65" i="16"/>
  <c r="AT43" i="8"/>
  <c r="AT37" i="8"/>
  <c r="AT39" i="8"/>
  <c r="AT36" i="8"/>
  <c r="AT35" i="8"/>
  <c r="AT30" i="8"/>
  <c r="AT29" i="8"/>
  <c r="AT28" i="8"/>
  <c r="AT27" i="8"/>
  <c r="AP43" i="8"/>
  <c r="AP37" i="8"/>
  <c r="AP39" i="8"/>
  <c r="AP36" i="8"/>
  <c r="AP35" i="8"/>
  <c r="AU126" i="8" s="1"/>
  <c r="AP30" i="8"/>
  <c r="AP29" i="8"/>
  <c r="AP28" i="8"/>
  <c r="AP27" i="8"/>
  <c r="AT19" i="8"/>
  <c r="AT18" i="8"/>
  <c r="AU93" i="8" s="1"/>
  <c r="AT21" i="8"/>
  <c r="AT20" i="8"/>
  <c r="AT17" i="8"/>
  <c r="AT16" i="8"/>
  <c r="AT15" i="8"/>
  <c r="AU82" i="8" s="1"/>
  <c r="AT14" i="8"/>
  <c r="AT10" i="8"/>
  <c r="AT9" i="8"/>
  <c r="AT8" i="8"/>
  <c r="AT7" i="8"/>
  <c r="AP19" i="8"/>
  <c r="AP18" i="8"/>
  <c r="AP21" i="8"/>
  <c r="AP20" i="8"/>
  <c r="AP17" i="8"/>
  <c r="AP16" i="8"/>
  <c r="AP15" i="8"/>
  <c r="AP14" i="8"/>
  <c r="AP10" i="8"/>
  <c r="AP9" i="8"/>
  <c r="AP8" i="8"/>
  <c r="AP7" i="8"/>
  <c r="AO53" i="5"/>
  <c r="AO67" i="16" s="1"/>
  <c r="AO62" i="5"/>
  <c r="AT62" i="5"/>
  <c r="AO47" i="5"/>
  <c r="AO46" i="5"/>
  <c r="AO45" i="5"/>
  <c r="AT47" i="5"/>
  <c r="AT46" i="5"/>
  <c r="AT45" i="5"/>
  <c r="AO31" i="5"/>
  <c r="AO26" i="5"/>
  <c r="AO21" i="5"/>
  <c r="AO14" i="5"/>
  <c r="AO9" i="5"/>
  <c r="AT31" i="5"/>
  <c r="AT26" i="5"/>
  <c r="AT21" i="5"/>
  <c r="AT14" i="5"/>
  <c r="AT9" i="5"/>
  <c r="AU34" i="5" l="1"/>
  <c r="AY33" i="5"/>
  <c r="AU11" i="5"/>
  <c r="AY10" i="5"/>
  <c r="AU127" i="8"/>
  <c r="AY126" i="8"/>
  <c r="AU29" i="5"/>
  <c r="AY28" i="5"/>
  <c r="AU24" i="5"/>
  <c r="AY23" i="5"/>
  <c r="AU98" i="8"/>
  <c r="AU97" i="8"/>
  <c r="AU88" i="8"/>
  <c r="AU87" i="8"/>
  <c r="BG220" i="5" l="1"/>
  <c r="BG164" i="5"/>
  <c r="AT126" i="8"/>
  <c r="AT123" i="8"/>
  <c r="AT116" i="8"/>
  <c r="AY119" i="8" s="1"/>
  <c r="AT110" i="8"/>
  <c r="AT103" i="8"/>
  <c r="AT100" i="8"/>
  <c r="AT94" i="8"/>
  <c r="AT93" i="8"/>
  <c r="AT90" i="8"/>
  <c r="AT86" i="8"/>
  <c r="AT83" i="8"/>
  <c r="AT82" i="8"/>
  <c r="AT76" i="8"/>
  <c r="AT69" i="8"/>
  <c r="AT81" i="16"/>
  <c r="AT113" i="16"/>
  <c r="AT110" i="16"/>
  <c r="AT107" i="16"/>
  <c r="AU109" i="16" s="1"/>
  <c r="AT10" i="5"/>
  <c r="AT53" i="5"/>
  <c r="AT24" i="5"/>
  <c r="AT29" i="5"/>
  <c r="AT34" i="5"/>
  <c r="AU73" i="8" l="1"/>
  <c r="AY72" i="8"/>
  <c r="AU80" i="8"/>
  <c r="AY79" i="8"/>
  <c r="AU107" i="8"/>
  <c r="AY106" i="8"/>
  <c r="AU114" i="8"/>
  <c r="AY113" i="8"/>
  <c r="AU115" i="16"/>
  <c r="AY114" i="16"/>
  <c r="BH164" i="5"/>
  <c r="BH220" i="5"/>
  <c r="AT87" i="8"/>
  <c r="AT116" i="16"/>
  <c r="AT88" i="8"/>
  <c r="AT54" i="21"/>
  <c r="AT53" i="21"/>
  <c r="AT52" i="21"/>
  <c r="AT51" i="21"/>
  <c r="AT48" i="21"/>
  <c r="AT47" i="21"/>
  <c r="AT46" i="21"/>
  <c r="AT45" i="21"/>
  <c r="AT49" i="21" l="1"/>
  <c r="AT57" i="21" s="1"/>
  <c r="BI164" i="5"/>
  <c r="BI220" i="5"/>
  <c r="BA16" i="6"/>
  <c r="AZ16" i="6"/>
  <c r="AY16" i="6"/>
  <c r="AX16" i="6"/>
  <c r="AW16" i="6"/>
  <c r="BA17" i="6"/>
  <c r="BF64" i="8"/>
  <c r="BB83" i="16"/>
  <c r="BF59" i="16"/>
  <c r="BF32" i="16"/>
  <c r="BF5" i="16"/>
  <c r="BF33" i="16" s="1"/>
  <c r="BE5" i="16"/>
  <c r="BE60" i="16" s="1"/>
  <c r="BD5" i="16"/>
  <c r="BD33" i="16" s="1"/>
  <c r="BC5" i="16"/>
  <c r="BC33" i="16" s="1"/>
  <c r="BB5" i="16"/>
  <c r="BB60" i="16" s="1"/>
  <c r="BB4" i="16"/>
  <c r="BB59" i="16" s="1"/>
  <c r="BE66" i="12"/>
  <c r="BD66" i="12"/>
  <c r="BC66" i="12"/>
  <c r="BB66" i="12"/>
  <c r="BF56" i="12"/>
  <c r="BE54" i="12"/>
  <c r="BD54" i="12"/>
  <c r="BF52" i="12"/>
  <c r="BC54" i="12"/>
  <c r="BB54" i="12"/>
  <c r="BF66" i="12"/>
  <c r="BF41" i="12"/>
  <c r="BE5" i="12"/>
  <c r="BD5" i="12"/>
  <c r="BC5" i="12"/>
  <c r="BB5" i="12"/>
  <c r="BF132" i="8"/>
  <c r="BF66" i="8"/>
  <c r="BF5" i="12"/>
  <c r="BF39" i="21"/>
  <c r="BF36" i="21"/>
  <c r="BF25" i="21"/>
  <c r="BF24" i="21"/>
  <c r="BF23" i="21"/>
  <c r="BF22" i="21"/>
  <c r="BF6" i="21"/>
  <c r="BE6" i="21"/>
  <c r="BD6" i="21"/>
  <c r="BC6" i="21"/>
  <c r="BB6" i="21"/>
  <c r="BB5" i="21"/>
  <c r="BD62" i="19"/>
  <c r="BC62" i="19"/>
  <c r="BB62" i="19"/>
  <c r="BD61" i="19"/>
  <c r="BC61" i="19"/>
  <c r="BB61" i="19"/>
  <c r="BD56" i="19"/>
  <c r="BC56" i="19"/>
  <c r="BD55" i="19"/>
  <c r="BC55" i="19"/>
  <c r="BD46" i="19"/>
  <c r="BC46" i="19"/>
  <c r="BB46" i="19"/>
  <c r="BG64" i="19" s="1"/>
  <c r="BF41" i="19"/>
  <c r="BE41" i="19"/>
  <c r="BD41" i="19"/>
  <c r="BC41" i="19"/>
  <c r="BB41" i="19"/>
  <c r="BB40" i="19"/>
  <c r="BD17" i="19"/>
  <c r="BC17" i="19"/>
  <c r="BE17" i="19"/>
  <c r="BB17" i="19"/>
  <c r="BF6" i="19"/>
  <c r="BE6" i="19"/>
  <c r="BD6" i="19"/>
  <c r="BC6" i="19"/>
  <c r="BB6" i="19"/>
  <c r="BB5" i="19"/>
  <c r="BB15" i="14"/>
  <c r="BC14" i="14"/>
  <c r="BB14" i="14"/>
  <c r="BC20" i="14"/>
  <c r="BG17" i="14"/>
  <c r="BF6" i="14"/>
  <c r="BE6" i="14"/>
  <c r="BD6" i="14"/>
  <c r="BC6" i="14"/>
  <c r="BB6" i="14"/>
  <c r="BF191" i="5"/>
  <c r="BE191" i="5"/>
  <c r="BD191" i="5"/>
  <c r="BC191" i="5"/>
  <c r="BB191" i="5"/>
  <c r="BF190" i="5"/>
  <c r="BB190" i="5"/>
  <c r="BB163" i="5"/>
  <c r="BF135" i="5"/>
  <c r="BE135" i="5"/>
  <c r="BD135" i="5"/>
  <c r="BC135" i="5"/>
  <c r="BB135" i="5"/>
  <c r="BF134" i="5"/>
  <c r="BB134" i="5"/>
  <c r="BF85" i="5"/>
  <c r="BE85" i="5"/>
  <c r="BD85" i="5"/>
  <c r="BC85" i="5"/>
  <c r="BB85" i="5"/>
  <c r="BF84" i="5"/>
  <c r="BB84" i="5"/>
  <c r="BF101" i="8"/>
  <c r="BF104" i="8"/>
  <c r="BF117" i="8"/>
  <c r="BF70" i="8"/>
  <c r="AZ18" i="6" l="1"/>
  <c r="AY18" i="6"/>
  <c r="BA18" i="6"/>
  <c r="AX18" i="6"/>
  <c r="BK46" i="5"/>
  <c r="BJ220" i="5"/>
  <c r="BJ164" i="5"/>
  <c r="BE33" i="16"/>
  <c r="BD60" i="16"/>
  <c r="AZ20" i="6"/>
  <c r="BA20" i="6" s="1"/>
  <c r="AW20" i="6"/>
  <c r="AX20" i="6"/>
  <c r="AY20" i="6"/>
  <c r="AW18" i="6"/>
  <c r="BC60" i="16"/>
  <c r="BF60" i="16"/>
  <c r="BB32" i="16"/>
  <c r="BB33" i="16"/>
  <c r="BF54" i="12"/>
  <c r="BC58" i="19"/>
  <c r="BD58" i="19"/>
  <c r="BD23" i="14"/>
  <c r="BC23" i="14"/>
  <c r="AS116" i="8"/>
  <c r="AX119" i="8" s="1"/>
  <c r="AS110" i="8"/>
  <c r="AX113" i="8" s="1"/>
  <c r="AS103" i="8"/>
  <c r="AX106" i="8" s="1"/>
  <c r="AS100" i="8"/>
  <c r="AS94" i="8"/>
  <c r="AS93" i="8"/>
  <c r="AS90" i="8"/>
  <c r="AS86" i="8"/>
  <c r="AS83" i="8"/>
  <c r="AS82" i="8"/>
  <c r="AS76" i="8"/>
  <c r="AX79" i="8" s="1"/>
  <c r="AS69" i="8"/>
  <c r="AX72" i="8" s="1"/>
  <c r="AS81" i="16"/>
  <c r="AS113" i="16"/>
  <c r="AS110" i="16"/>
  <c r="AS107" i="16"/>
  <c r="AT109" i="16" s="1"/>
  <c r="AS10" i="21"/>
  <c r="AS54" i="21"/>
  <c r="AS53" i="21"/>
  <c r="AS52" i="21"/>
  <c r="AS51" i="21"/>
  <c r="AS48" i="21"/>
  <c r="AS47" i="21"/>
  <c r="AS46" i="21"/>
  <c r="AS45" i="21"/>
  <c r="AS34" i="5"/>
  <c r="AS29" i="5"/>
  <c r="AS24" i="5"/>
  <c r="AS10" i="5"/>
  <c r="AS53" i="5"/>
  <c r="AS49" i="21" l="1"/>
  <c r="AS57" i="21" s="1"/>
  <c r="BD83" i="16"/>
  <c r="AT115" i="16"/>
  <c r="AX114" i="16"/>
  <c r="BL164" i="5"/>
  <c r="BL220" i="5"/>
  <c r="AT73" i="8"/>
  <c r="AT80" i="8"/>
  <c r="AT107" i="8"/>
  <c r="AT114" i="8"/>
  <c r="AS88" i="8"/>
  <c r="AS87" i="8"/>
  <c r="AS116" i="16"/>
  <c r="AS64" i="16"/>
  <c r="BG163" i="5" l="1"/>
  <c r="BG83" i="16"/>
  <c r="BM164" i="5"/>
  <c r="BM220" i="5"/>
  <c r="BE83" i="16"/>
  <c r="BF45" i="5"/>
  <c r="AR127" i="8"/>
  <c r="AR126" i="8"/>
  <c r="AR123" i="8"/>
  <c r="AR116" i="8"/>
  <c r="AW119" i="8" s="1"/>
  <c r="AR110" i="8"/>
  <c r="AR103" i="8"/>
  <c r="AW106" i="8" s="1"/>
  <c r="AR100" i="8"/>
  <c r="AR94" i="8"/>
  <c r="AR93" i="8"/>
  <c r="AR90" i="8"/>
  <c r="AR86" i="8"/>
  <c r="AR83" i="8"/>
  <c r="AR82" i="8"/>
  <c r="AR76" i="8"/>
  <c r="AR69" i="8"/>
  <c r="AR34" i="5"/>
  <c r="AR29" i="5"/>
  <c r="AR24" i="5"/>
  <c r="AR10" i="5"/>
  <c r="AP10" i="5"/>
  <c r="AR81" i="16"/>
  <c r="AR113" i="16"/>
  <c r="AW114" i="16" s="1"/>
  <c r="AR110" i="16"/>
  <c r="AR107" i="16"/>
  <c r="AW108" i="16" s="1"/>
  <c r="BH45" i="5" l="1"/>
  <c r="BH83" i="16" s="1"/>
  <c r="BN220" i="5"/>
  <c r="BN164" i="5"/>
  <c r="AS80" i="8"/>
  <c r="AW79" i="8"/>
  <c r="AS114" i="8"/>
  <c r="AW113" i="8"/>
  <c r="AS73" i="8"/>
  <c r="AW72" i="8"/>
  <c r="BF83" i="16"/>
  <c r="AS107" i="8"/>
  <c r="AR88" i="8"/>
  <c r="AR87" i="8"/>
  <c r="BB220" i="5"/>
  <c r="BB164" i="5"/>
  <c r="AR116" i="16"/>
  <c r="AS115" i="16"/>
  <c r="AS109" i="16"/>
  <c r="AR48" i="21"/>
  <c r="AR47" i="21"/>
  <c r="AR46" i="21"/>
  <c r="AR45" i="21"/>
  <c r="AR54" i="21"/>
  <c r="AR53" i="21"/>
  <c r="AR52" i="21"/>
  <c r="AR51" i="21"/>
  <c r="AP51" i="21"/>
  <c r="AR10" i="21"/>
  <c r="AR53" i="5"/>
  <c r="BI45" i="5" l="1"/>
  <c r="BJ45" i="5" s="1"/>
  <c r="BP46" i="5"/>
  <c r="BO220" i="5"/>
  <c r="BO164" i="5"/>
  <c r="AR49" i="21"/>
  <c r="AR57" i="21" s="1"/>
  <c r="BC164" i="5"/>
  <c r="BC220" i="5"/>
  <c r="BK45" i="5" l="1"/>
  <c r="BK83" i="16" s="1"/>
  <c r="BI83" i="16"/>
  <c r="BP164" i="5"/>
  <c r="BU164" i="5"/>
  <c r="BD164" i="5"/>
  <c r="BD220" i="5"/>
  <c r="AQ8" i="21"/>
  <c r="AM10" i="21"/>
  <c r="AN10" i="21"/>
  <c r="AO10" i="21"/>
  <c r="AP10" i="21"/>
  <c r="BJ83" i="16" l="1"/>
  <c r="BF46" i="5"/>
  <c r="BK164" i="5" s="1"/>
  <c r="BE164" i="5"/>
  <c r="BE220" i="5"/>
  <c r="BL83" i="16" l="1"/>
  <c r="BL163" i="5"/>
  <c r="BM163" i="5"/>
  <c r="AV65" i="16"/>
  <c r="AQ36" i="12"/>
  <c r="AQ35" i="12"/>
  <c r="AQ34" i="12"/>
  <c r="AQ33" i="12"/>
  <c r="AQ32" i="12"/>
  <c r="AQ31" i="12"/>
  <c r="AQ25" i="12"/>
  <c r="AQ24" i="12"/>
  <c r="AQ23" i="12"/>
  <c r="AQ22" i="12"/>
  <c r="AQ21" i="12"/>
  <c r="AQ20" i="12"/>
  <c r="AQ19" i="12"/>
  <c r="AQ18" i="12"/>
  <c r="AQ17" i="12"/>
  <c r="AQ16" i="12"/>
  <c r="AQ15" i="12"/>
  <c r="AQ14" i="12"/>
  <c r="AQ13" i="12"/>
  <c r="AQ12" i="12"/>
  <c r="AQ11" i="12"/>
  <c r="AQ10" i="12"/>
  <c r="AQ9" i="12"/>
  <c r="AQ8" i="12"/>
  <c r="AQ7" i="12"/>
  <c r="AQ78" i="16"/>
  <c r="AP127" i="8"/>
  <c r="AP126" i="8"/>
  <c r="AP123" i="8"/>
  <c r="AP116" i="8"/>
  <c r="AU119" i="8" s="1"/>
  <c r="AP110" i="8"/>
  <c r="AP103" i="8"/>
  <c r="AU106" i="8" s="1"/>
  <c r="AP100" i="8"/>
  <c r="AP93" i="8"/>
  <c r="AP90" i="8"/>
  <c r="AP86" i="8"/>
  <c r="AP83" i="8"/>
  <c r="AP82" i="8"/>
  <c r="AP76" i="8"/>
  <c r="AU79" i="8" s="1"/>
  <c r="AP69" i="8"/>
  <c r="AU72" i="8" s="1"/>
  <c r="AP15" i="19"/>
  <c r="BN83" i="16" l="1"/>
  <c r="BM83" i="16"/>
  <c r="AP87" i="8"/>
  <c r="AR114" i="8"/>
  <c r="AU113" i="8"/>
  <c r="AR107" i="8"/>
  <c r="AR80" i="8"/>
  <c r="AR73" i="8"/>
  <c r="BA65" i="16"/>
  <c r="AP88" i="8"/>
  <c r="AT58" i="8"/>
  <c r="AP34" i="5"/>
  <c r="AP29" i="5"/>
  <c r="AP24" i="5"/>
  <c r="AO79" i="16"/>
  <c r="AN79" i="16"/>
  <c r="AM79" i="16"/>
  <c r="AP79" i="16"/>
  <c r="AQ66" i="16"/>
  <c r="AP113" i="16"/>
  <c r="AU114" i="16" s="1"/>
  <c r="AP110" i="16"/>
  <c r="AP107" i="16"/>
  <c r="AU108" i="16" s="1"/>
  <c r="AP81" i="16"/>
  <c r="AP77" i="16"/>
  <c r="AQ43" i="19"/>
  <c r="BN163" i="5" l="1"/>
  <c r="AQ79" i="16"/>
  <c r="AP80" i="16"/>
  <c r="AP96" i="8"/>
  <c r="AP97" i="8" s="1"/>
  <c r="AT95" i="8"/>
  <c r="AT71" i="8"/>
  <c r="AT85" i="8"/>
  <c r="AP116" i="16"/>
  <c r="BP45" i="5" l="1"/>
  <c r="BP83" i="16" s="1"/>
  <c r="BO163" i="5"/>
  <c r="BO83" i="16"/>
  <c r="BP163" i="5"/>
  <c r="BF65" i="16"/>
  <c r="AV17" i="6"/>
  <c r="AQ17" i="6"/>
  <c r="AL17" i="6"/>
  <c r="BA5" i="8"/>
  <c r="AV5" i="8"/>
  <c r="AQ5" i="8"/>
  <c r="BQ163" i="5" l="1"/>
  <c r="AP54" i="21"/>
  <c r="AP53" i="21"/>
  <c r="AP52" i="21"/>
  <c r="AP48" i="21"/>
  <c r="AP47" i="21"/>
  <c r="AP46" i="21"/>
  <c r="AP45" i="21"/>
  <c r="AK54" i="21"/>
  <c r="AJ54" i="21"/>
  <c r="AK53" i="21"/>
  <c r="AJ53" i="21"/>
  <c r="AK52" i="21"/>
  <c r="AJ52" i="21"/>
  <c r="AO54" i="21"/>
  <c r="AN54" i="21"/>
  <c r="AM54" i="21"/>
  <c r="AO53" i="21"/>
  <c r="AN53" i="21"/>
  <c r="AM53" i="21"/>
  <c r="AN52" i="21"/>
  <c r="AM52" i="21"/>
  <c r="AO52" i="21"/>
  <c r="AH48" i="21"/>
  <c r="AH47" i="21"/>
  <c r="AH46" i="21"/>
  <c r="AH45" i="21"/>
  <c r="AI48" i="21"/>
  <c r="AI47" i="21"/>
  <c r="AI46" i="21"/>
  <c r="AI45" i="21"/>
  <c r="AJ48" i="21"/>
  <c r="AJ47" i="21"/>
  <c r="AJ46" i="21"/>
  <c r="AJ45" i="21"/>
  <c r="AK48" i="21"/>
  <c r="AK47" i="21"/>
  <c r="AK46" i="21"/>
  <c r="AK45" i="21"/>
  <c r="AN48" i="21"/>
  <c r="AM48" i="21"/>
  <c r="AN47" i="21"/>
  <c r="AM47" i="21"/>
  <c r="AN46" i="21"/>
  <c r="AM46" i="21"/>
  <c r="AN45" i="21"/>
  <c r="AM45" i="21"/>
  <c r="AO45" i="21"/>
  <c r="AO48" i="21"/>
  <c r="AO46" i="21"/>
  <c r="AO47" i="21"/>
  <c r="BI25" i="21"/>
  <c r="BI24" i="21"/>
  <c r="BI23" i="21"/>
  <c r="BI22" i="21"/>
  <c r="BR83" i="16" l="1"/>
  <c r="BR163" i="5"/>
  <c r="AH49" i="21"/>
  <c r="BI27" i="21"/>
  <c r="AM49" i="21"/>
  <c r="AM57" i="21" s="1"/>
  <c r="AI49" i="21"/>
  <c r="AP49" i="21"/>
  <c r="AP57" i="21" s="1"/>
  <c r="AN49" i="21"/>
  <c r="AN57" i="21" s="1"/>
  <c r="AO49" i="21"/>
  <c r="AK49" i="21"/>
  <c r="AK57" i="21" s="1"/>
  <c r="AJ49" i="21"/>
  <c r="AJ57" i="21" s="1"/>
  <c r="BS163" i="5" l="1"/>
  <c r="BT45" i="5"/>
  <c r="BS83" i="16"/>
  <c r="BK65" i="16"/>
  <c r="BL27" i="21"/>
  <c r="AO57" i="21"/>
  <c r="AU16" i="6"/>
  <c r="AT16" i="6"/>
  <c r="AS16" i="6"/>
  <c r="AR16" i="6"/>
  <c r="AV16" i="6"/>
  <c r="AO10" i="5"/>
  <c r="AO34" i="5"/>
  <c r="AN34" i="5"/>
  <c r="AO29" i="5"/>
  <c r="AO24" i="5"/>
  <c r="AN24" i="5"/>
  <c r="AO15" i="19"/>
  <c r="AT61" i="19"/>
  <c r="D40" i="19"/>
  <c r="I40" i="19"/>
  <c r="N40" i="19"/>
  <c r="S40" i="19"/>
  <c r="X40" i="19"/>
  <c r="AC40" i="19"/>
  <c r="AH40" i="19"/>
  <c r="AM40" i="19"/>
  <c r="AR40" i="19"/>
  <c r="AW40" i="19"/>
  <c r="D41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Q41" i="19"/>
  <c r="R41" i="19"/>
  <c r="S41" i="19"/>
  <c r="T41" i="19"/>
  <c r="U41" i="19"/>
  <c r="V41" i="19"/>
  <c r="W41" i="19"/>
  <c r="X41" i="19"/>
  <c r="Y41" i="19"/>
  <c r="Z41" i="19"/>
  <c r="AA41" i="19"/>
  <c r="AB41" i="19"/>
  <c r="AC41" i="19"/>
  <c r="AD41" i="19"/>
  <c r="AE41" i="19"/>
  <c r="AF41" i="19"/>
  <c r="AG41" i="19"/>
  <c r="AH41" i="19"/>
  <c r="AI41" i="19"/>
  <c r="AJ41" i="19"/>
  <c r="AK41" i="19"/>
  <c r="AL41" i="19"/>
  <c r="AM41" i="19"/>
  <c r="AN41" i="19"/>
  <c r="AO41" i="19"/>
  <c r="AP41" i="19"/>
  <c r="AQ41" i="19"/>
  <c r="AR41" i="19"/>
  <c r="AS41" i="19"/>
  <c r="AT41" i="19"/>
  <c r="AU41" i="19"/>
  <c r="AV41" i="19"/>
  <c r="AW41" i="19"/>
  <c r="AX41" i="19"/>
  <c r="AY41" i="19"/>
  <c r="AZ41" i="19"/>
  <c r="BA41" i="19"/>
  <c r="G43" i="19"/>
  <c r="G55" i="19" s="1"/>
  <c r="L43" i="19"/>
  <c r="N55" i="19" s="1"/>
  <c r="Q43" i="19"/>
  <c r="Q55" i="19" s="1"/>
  <c r="V43" i="19"/>
  <c r="AA43" i="19"/>
  <c r="AF43" i="19"/>
  <c r="AH55" i="19" s="1"/>
  <c r="AK43" i="19"/>
  <c r="AK55" i="19" s="1"/>
  <c r="AU43" i="19"/>
  <c r="AU55" i="19" s="1"/>
  <c r="G44" i="19"/>
  <c r="G56" i="19" s="1"/>
  <c r="L44" i="19"/>
  <c r="L56" i="19" s="1"/>
  <c r="Q44" i="19"/>
  <c r="Q56" i="19" s="1"/>
  <c r="V44" i="19"/>
  <c r="V56" i="19" s="1"/>
  <c r="AA44" i="19"/>
  <c r="AC56" i="19" s="1"/>
  <c r="AF44" i="19"/>
  <c r="AK44" i="19"/>
  <c r="AU44" i="19"/>
  <c r="AW56" i="19" s="1"/>
  <c r="AZ56" i="19"/>
  <c r="D46" i="19"/>
  <c r="E46" i="19"/>
  <c r="F46" i="19"/>
  <c r="H46" i="19"/>
  <c r="I46" i="19"/>
  <c r="J46" i="19"/>
  <c r="K46" i="19"/>
  <c r="M46" i="19"/>
  <c r="N46" i="19"/>
  <c r="O46" i="19"/>
  <c r="P46" i="19"/>
  <c r="R46" i="19"/>
  <c r="S46" i="19"/>
  <c r="T46" i="19"/>
  <c r="U46" i="19"/>
  <c r="W46" i="19"/>
  <c r="X46" i="19"/>
  <c r="Y46" i="19"/>
  <c r="Z46" i="19"/>
  <c r="AB46" i="19"/>
  <c r="AC46" i="19"/>
  <c r="AD46" i="19"/>
  <c r="AE46" i="19"/>
  <c r="AG46" i="19"/>
  <c r="AH46" i="19"/>
  <c r="AI46" i="19"/>
  <c r="AJ46" i="19"/>
  <c r="AL46" i="19"/>
  <c r="AM46" i="19"/>
  <c r="AN46" i="19"/>
  <c r="AR46" i="19"/>
  <c r="AS46" i="19"/>
  <c r="AT46" i="19"/>
  <c r="AV46" i="19"/>
  <c r="BB64" i="19"/>
  <c r="AX46" i="19"/>
  <c r="AY46" i="19"/>
  <c r="E55" i="19"/>
  <c r="F55" i="19"/>
  <c r="J55" i="19"/>
  <c r="K55" i="19"/>
  <c r="O55" i="19"/>
  <c r="P55" i="19"/>
  <c r="T55" i="19"/>
  <c r="U55" i="19"/>
  <c r="Y55" i="19"/>
  <c r="Z55" i="19"/>
  <c r="AD55" i="19"/>
  <c r="AE55" i="19"/>
  <c r="AI55" i="19"/>
  <c r="AJ55" i="19"/>
  <c r="AN55" i="19"/>
  <c r="AS55" i="19"/>
  <c r="AT55" i="19"/>
  <c r="AX55" i="19"/>
  <c r="AY55" i="19"/>
  <c r="E56" i="19"/>
  <c r="F56" i="19"/>
  <c r="J56" i="19"/>
  <c r="K56" i="19"/>
  <c r="O56" i="19"/>
  <c r="P56" i="19"/>
  <c r="T56" i="19"/>
  <c r="U56" i="19"/>
  <c r="Y56" i="19"/>
  <c r="Z56" i="19"/>
  <c r="AD56" i="19"/>
  <c r="AE56" i="19"/>
  <c r="AI56" i="19"/>
  <c r="AJ56" i="19"/>
  <c r="AN56" i="19"/>
  <c r="AS56" i="19"/>
  <c r="AT56" i="19"/>
  <c r="AX56" i="19"/>
  <c r="AY56" i="19"/>
  <c r="I61" i="19"/>
  <c r="J61" i="19"/>
  <c r="K61" i="19"/>
  <c r="M61" i="19"/>
  <c r="N61" i="19"/>
  <c r="O61" i="19"/>
  <c r="P61" i="19"/>
  <c r="R61" i="19"/>
  <c r="S61" i="19"/>
  <c r="T61" i="19"/>
  <c r="U61" i="19"/>
  <c r="W61" i="19"/>
  <c r="X61" i="19"/>
  <c r="Y61" i="19"/>
  <c r="Z61" i="19"/>
  <c r="AB61" i="19"/>
  <c r="AC61" i="19"/>
  <c r="AD61" i="19"/>
  <c r="AE61" i="19"/>
  <c r="AH61" i="19"/>
  <c r="AI61" i="19"/>
  <c r="AJ61" i="19"/>
  <c r="AL61" i="19"/>
  <c r="AM61" i="19"/>
  <c r="AN61" i="19"/>
  <c r="AO61" i="19"/>
  <c r="AQ61" i="19"/>
  <c r="AR61" i="19"/>
  <c r="AS61" i="19"/>
  <c r="AV61" i="19"/>
  <c r="AW61" i="19"/>
  <c r="AX61" i="19"/>
  <c r="AY61" i="19"/>
  <c r="I62" i="19"/>
  <c r="J62" i="19"/>
  <c r="K62" i="19"/>
  <c r="M62" i="19"/>
  <c r="N62" i="19"/>
  <c r="O62" i="19"/>
  <c r="P62" i="19"/>
  <c r="R62" i="19"/>
  <c r="S62" i="19"/>
  <c r="T62" i="19"/>
  <c r="U62" i="19"/>
  <c r="W62" i="19"/>
  <c r="X62" i="19"/>
  <c r="Y62" i="19"/>
  <c r="Z62" i="19"/>
  <c r="AB62" i="19"/>
  <c r="AC62" i="19"/>
  <c r="AD62" i="19"/>
  <c r="AE62" i="19"/>
  <c r="AH62" i="19"/>
  <c r="AI62" i="19"/>
  <c r="AJ62" i="19"/>
  <c r="AL62" i="19"/>
  <c r="AM62" i="19"/>
  <c r="AN62" i="19"/>
  <c r="AR62" i="19"/>
  <c r="AS62" i="19"/>
  <c r="AW62" i="19"/>
  <c r="AX62" i="19"/>
  <c r="AY62" i="19"/>
  <c r="D69" i="19"/>
  <c r="D50" i="19" s="1"/>
  <c r="E69" i="19"/>
  <c r="E50" i="19" s="1"/>
  <c r="F69" i="19"/>
  <c r="F49" i="19" s="1"/>
  <c r="G69" i="19"/>
  <c r="I69" i="19"/>
  <c r="I49" i="19" s="1"/>
  <c r="J69" i="19"/>
  <c r="J50" i="19" s="1"/>
  <c r="K69" i="19"/>
  <c r="K49" i="19" s="1"/>
  <c r="L69" i="19"/>
  <c r="N69" i="19"/>
  <c r="N50" i="19" s="1"/>
  <c r="O69" i="19"/>
  <c r="O50" i="19" s="1"/>
  <c r="P69" i="19"/>
  <c r="P50" i="19" s="1"/>
  <c r="Q69" i="19"/>
  <c r="S69" i="19"/>
  <c r="S49" i="19" s="1"/>
  <c r="T69" i="19"/>
  <c r="T49" i="19" s="1"/>
  <c r="U69" i="19"/>
  <c r="U49" i="19" s="1"/>
  <c r="V69" i="19"/>
  <c r="X69" i="19"/>
  <c r="X49" i="19" s="1"/>
  <c r="Y69" i="19"/>
  <c r="Y49" i="19" s="1"/>
  <c r="Z69" i="19"/>
  <c r="Z50" i="19" s="1"/>
  <c r="AA69" i="19"/>
  <c r="AC69" i="19"/>
  <c r="AC50" i="19" s="1"/>
  <c r="AD69" i="19"/>
  <c r="AD49" i="19" s="1"/>
  <c r="AE69" i="19"/>
  <c r="AE49" i="19" s="1"/>
  <c r="AF69" i="19"/>
  <c r="AH69" i="19"/>
  <c r="AH50" i="19" s="1"/>
  <c r="AI69" i="19"/>
  <c r="AI49" i="19" s="1"/>
  <c r="AJ69" i="19"/>
  <c r="AJ49" i="19" s="1"/>
  <c r="AK69" i="19"/>
  <c r="AM69" i="19"/>
  <c r="AM50" i="19" s="1"/>
  <c r="AN69" i="19"/>
  <c r="AN50" i="19" s="1"/>
  <c r="AO69" i="19"/>
  <c r="AO44" i="19" s="1"/>
  <c r="AO81" i="16"/>
  <c r="AO77" i="16"/>
  <c r="AO113" i="16"/>
  <c r="AO110" i="16"/>
  <c r="AO107" i="16"/>
  <c r="AT108" i="16" s="1"/>
  <c r="AO127" i="8"/>
  <c r="AO126" i="8"/>
  <c r="AO123" i="8"/>
  <c r="AO116" i="8"/>
  <c r="AO110" i="8"/>
  <c r="AO103" i="8"/>
  <c r="AO100" i="8"/>
  <c r="AO93" i="8"/>
  <c r="AO90" i="8"/>
  <c r="AO82" i="8"/>
  <c r="AO76" i="8"/>
  <c r="AO69" i="8"/>
  <c r="BU45" i="5" l="1"/>
  <c r="G35" i="7"/>
  <c r="G32" i="7"/>
  <c r="BT83" i="16"/>
  <c r="BT163" i="5"/>
  <c r="BU163" i="5"/>
  <c r="BV45" i="5"/>
  <c r="BV83" i="16" s="1"/>
  <c r="BU83" i="16"/>
  <c r="AA50" i="19"/>
  <c r="I56" i="19"/>
  <c r="AA56" i="19"/>
  <c r="AR18" i="6"/>
  <c r="AF49" i="19"/>
  <c r="AF55" i="19"/>
  <c r="AK61" i="19"/>
  <c r="AH64" i="19"/>
  <c r="K64" i="19"/>
  <c r="O58" i="19"/>
  <c r="L50" i="19"/>
  <c r="AD64" i="19"/>
  <c r="S64" i="19"/>
  <c r="O64" i="19"/>
  <c r="AM64" i="19"/>
  <c r="N64" i="19"/>
  <c r="AX64" i="19"/>
  <c r="AZ58" i="19"/>
  <c r="S70" i="19"/>
  <c r="AT72" i="8"/>
  <c r="AP73" i="8"/>
  <c r="AE58" i="19"/>
  <c r="BB56" i="19"/>
  <c r="AT79" i="8"/>
  <c r="AP80" i="8"/>
  <c r="AP115" i="16"/>
  <c r="AT114" i="16"/>
  <c r="U58" i="19"/>
  <c r="AZ55" i="19"/>
  <c r="BB55" i="19"/>
  <c r="AT113" i="8"/>
  <c r="AP114" i="8"/>
  <c r="AT119" i="8"/>
  <c r="AY58" i="19"/>
  <c r="BD64" i="19"/>
  <c r="AX58" i="19"/>
  <c r="BC64" i="19"/>
  <c r="Z64" i="19"/>
  <c r="AT106" i="8"/>
  <c r="AP107" i="8"/>
  <c r="L62" i="19"/>
  <c r="F70" i="19"/>
  <c r="AP109" i="16"/>
  <c r="AH70" i="19"/>
  <c r="J49" i="19"/>
  <c r="J52" i="19" s="1"/>
  <c r="AO46" i="19"/>
  <c r="AO58" i="19" s="1"/>
  <c r="AQ44" i="19"/>
  <c r="AT58" i="19"/>
  <c r="AU56" i="19"/>
  <c r="AT62" i="19"/>
  <c r="AO56" i="19"/>
  <c r="AO50" i="19"/>
  <c r="AO62" i="19"/>
  <c r="AP56" i="19"/>
  <c r="AR55" i="19"/>
  <c r="AP55" i="19"/>
  <c r="AO55" i="19"/>
  <c r="L55" i="19"/>
  <c r="AA62" i="19"/>
  <c r="AP61" i="19"/>
  <c r="J58" i="19"/>
  <c r="AW64" i="19"/>
  <c r="AI64" i="19"/>
  <c r="T64" i="19"/>
  <c r="Q61" i="19"/>
  <c r="J70" i="19"/>
  <c r="K58" i="19"/>
  <c r="AZ62" i="19"/>
  <c r="N56" i="19"/>
  <c r="E70" i="19"/>
  <c r="Y50" i="19"/>
  <c r="Y52" i="19" s="1"/>
  <c r="AL64" i="19"/>
  <c r="W64" i="19"/>
  <c r="AY64" i="19"/>
  <c r="V62" i="19"/>
  <c r="AM70" i="19"/>
  <c r="AR64" i="19"/>
  <c r="AM55" i="19"/>
  <c r="AC64" i="19"/>
  <c r="AE70" i="19"/>
  <c r="L49" i="19"/>
  <c r="AH49" i="19"/>
  <c r="AH52" i="19" s="1"/>
  <c r="AB64" i="19"/>
  <c r="M64" i="19"/>
  <c r="AK62" i="19"/>
  <c r="AF61" i="19"/>
  <c r="Z70" i="19"/>
  <c r="AS58" i="19"/>
  <c r="X56" i="19"/>
  <c r="L46" i="19"/>
  <c r="L70" i="19" s="1"/>
  <c r="AF46" i="19"/>
  <c r="AF70" i="19" s="1"/>
  <c r="V46" i="19"/>
  <c r="V58" i="19" s="1"/>
  <c r="Y70" i="19"/>
  <c r="V50" i="19"/>
  <c r="AN58" i="19"/>
  <c r="Y64" i="19"/>
  <c r="K70" i="19"/>
  <c r="Q46" i="19"/>
  <c r="Q58" i="19" s="1"/>
  <c r="N70" i="19"/>
  <c r="R64" i="19"/>
  <c r="S55" i="19"/>
  <c r="G46" i="19"/>
  <c r="G58" i="19" s="1"/>
  <c r="AI58" i="19"/>
  <c r="AI70" i="19"/>
  <c r="AZ61" i="19"/>
  <c r="AH56" i="19"/>
  <c r="S56" i="19"/>
  <c r="AK50" i="19"/>
  <c r="Z49" i="19"/>
  <c r="Z52" i="19" s="1"/>
  <c r="D70" i="19"/>
  <c r="O70" i="19"/>
  <c r="AK56" i="19"/>
  <c r="AF62" i="19"/>
  <c r="G49" i="19"/>
  <c r="L61" i="19"/>
  <c r="Z58" i="19"/>
  <c r="AF56" i="19"/>
  <c r="AJ50" i="19"/>
  <c r="AJ52" i="19" s="1"/>
  <c r="V49" i="19"/>
  <c r="P64" i="19"/>
  <c r="AM49" i="19"/>
  <c r="AM52" i="19" s="1"/>
  <c r="Q62" i="19"/>
  <c r="O49" i="19"/>
  <c r="O52" i="19" s="1"/>
  <c r="AD70" i="19"/>
  <c r="Q50" i="19"/>
  <c r="AE64" i="19"/>
  <c r="J64" i="19"/>
  <c r="V61" i="19"/>
  <c r="T58" i="19"/>
  <c r="X50" i="19"/>
  <c r="X52" i="19" s="1"/>
  <c r="N49" i="19"/>
  <c r="N52" i="19" s="1"/>
  <c r="X55" i="19"/>
  <c r="I55" i="19"/>
  <c r="AK49" i="19"/>
  <c r="V55" i="19"/>
  <c r="AJ70" i="19"/>
  <c r="AF50" i="19"/>
  <c r="U70" i="19"/>
  <c r="I70" i="19"/>
  <c r="AJ58" i="19"/>
  <c r="F58" i="19"/>
  <c r="AC55" i="19"/>
  <c r="AO49" i="19"/>
  <c r="AC49" i="19"/>
  <c r="AC52" i="19" s="1"/>
  <c r="Q49" i="19"/>
  <c r="E49" i="19"/>
  <c r="E52" i="19" s="1"/>
  <c r="T50" i="19"/>
  <c r="T52" i="19" s="1"/>
  <c r="T70" i="19"/>
  <c r="AJ64" i="19"/>
  <c r="X64" i="19"/>
  <c r="E58" i="19"/>
  <c r="AM56" i="19"/>
  <c r="AA55" i="19"/>
  <c r="AN49" i="19"/>
  <c r="AN52" i="19" s="1"/>
  <c r="P49" i="19"/>
  <c r="P52" i="19" s="1"/>
  <c r="D49" i="19"/>
  <c r="D52" i="19" s="1"/>
  <c r="AA49" i="19"/>
  <c r="AC70" i="19"/>
  <c r="AS64" i="19"/>
  <c r="U64" i="19"/>
  <c r="I64" i="19"/>
  <c r="AA61" i="19"/>
  <c r="P58" i="19"/>
  <c r="AI50" i="19"/>
  <c r="AI52" i="19" s="1"/>
  <c r="K50" i="19"/>
  <c r="K52" i="19" s="1"/>
  <c r="AA46" i="19"/>
  <c r="AC58" i="19" s="1"/>
  <c r="AN70" i="19"/>
  <c r="P70" i="19"/>
  <c r="AD58" i="19"/>
  <c r="U50" i="19"/>
  <c r="U52" i="19" s="1"/>
  <c r="I50" i="19"/>
  <c r="I52" i="19" s="1"/>
  <c r="AK46" i="19"/>
  <c r="AU61" i="19"/>
  <c r="AW55" i="19"/>
  <c r="AE50" i="19"/>
  <c r="AE52" i="19" s="1"/>
  <c r="S50" i="19"/>
  <c r="S52" i="19" s="1"/>
  <c r="G50" i="19"/>
  <c r="AU46" i="19"/>
  <c r="X70" i="19"/>
  <c r="AN64" i="19"/>
  <c r="Y58" i="19"/>
  <c r="AD50" i="19"/>
  <c r="AD52" i="19" s="1"/>
  <c r="F50" i="19"/>
  <c r="F52" i="19" s="1"/>
  <c r="AO116" i="16"/>
  <c r="AN37" i="8"/>
  <c r="AM37" i="8"/>
  <c r="N58" i="19" l="1"/>
  <c r="BV113" i="5"/>
  <c r="BW45" i="5"/>
  <c r="BX45" i="5" s="1"/>
  <c r="BV163" i="5"/>
  <c r="AA52" i="19"/>
  <c r="AF52" i="19"/>
  <c r="X58" i="19"/>
  <c r="V70" i="19"/>
  <c r="AH58" i="19"/>
  <c r="AF58" i="19"/>
  <c r="L52" i="19"/>
  <c r="BP65" i="16"/>
  <c r="V64" i="19"/>
  <c r="L58" i="19"/>
  <c r="G70" i="19"/>
  <c r="Q64" i="19"/>
  <c r="BB58" i="19"/>
  <c r="AZ64" i="19"/>
  <c r="Q52" i="19"/>
  <c r="AF64" i="19"/>
  <c r="G52" i="19"/>
  <c r="AO70" i="19"/>
  <c r="AO64" i="19"/>
  <c r="AT64" i="19"/>
  <c r="AK52" i="19"/>
  <c r="AQ62" i="19"/>
  <c r="AV62" i="19"/>
  <c r="AQ46" i="19"/>
  <c r="AO52" i="19"/>
  <c r="AP46" i="19"/>
  <c r="AR56" i="19"/>
  <c r="AU62" i="19"/>
  <c r="AP62" i="19"/>
  <c r="V52" i="19"/>
  <c r="Q70" i="19"/>
  <c r="S58" i="19"/>
  <c r="L64" i="19"/>
  <c r="I58" i="19"/>
  <c r="AK58" i="19"/>
  <c r="AM58" i="19"/>
  <c r="AK70" i="19"/>
  <c r="AK64" i="19"/>
  <c r="AA64" i="19"/>
  <c r="AA70" i="19"/>
  <c r="AA58" i="19"/>
  <c r="AU58" i="19"/>
  <c r="AW58" i="19"/>
  <c r="AQ16" i="8"/>
  <c r="BA16" i="8" s="1"/>
  <c r="BF16" i="8" s="1"/>
  <c r="BK16" i="8" s="1"/>
  <c r="BP16" i="8" s="1"/>
  <c r="BU16" i="8" s="1"/>
  <c r="BV16" i="8" s="1"/>
  <c r="BW16" i="8" s="1"/>
  <c r="BX16" i="8" s="1"/>
  <c r="BY16" i="8" s="1"/>
  <c r="BZ16" i="8" s="1"/>
  <c r="CA16" i="8" s="1"/>
  <c r="CB16" i="8" s="1"/>
  <c r="CC16" i="8" s="1"/>
  <c r="CD16" i="8" s="1"/>
  <c r="CE16" i="8" s="1"/>
  <c r="AM16" i="8"/>
  <c r="AM21" i="8"/>
  <c r="AN21" i="8"/>
  <c r="BW83" i="16" l="1"/>
  <c r="BW163" i="5"/>
  <c r="BX83" i="16"/>
  <c r="BX163" i="5"/>
  <c r="BY45" i="5"/>
  <c r="AQ64" i="19"/>
  <c r="AV64" i="19"/>
  <c r="AP58" i="19"/>
  <c r="AR58" i="19"/>
  <c r="AP64" i="19"/>
  <c r="AU64" i="19"/>
  <c r="AI12" i="8"/>
  <c r="AH12" i="8"/>
  <c r="AF12" i="8"/>
  <c r="AE12" i="8"/>
  <c r="AD12" i="8"/>
  <c r="AC12" i="8"/>
  <c r="AA12" i="8"/>
  <c r="Z12" i="8"/>
  <c r="Y12" i="8"/>
  <c r="X12" i="8"/>
  <c r="V12" i="8"/>
  <c r="U12" i="8"/>
  <c r="T12" i="8"/>
  <c r="S12" i="8"/>
  <c r="Q12" i="8"/>
  <c r="P12" i="8"/>
  <c r="O12" i="8"/>
  <c r="N12" i="8"/>
  <c r="L12" i="8"/>
  <c r="K12" i="8"/>
  <c r="J12" i="8"/>
  <c r="I12" i="8"/>
  <c r="G12" i="8"/>
  <c r="F12" i="8"/>
  <c r="E12" i="8"/>
  <c r="D12" i="8"/>
  <c r="AN12" i="8"/>
  <c r="AM12" i="8"/>
  <c r="AK12" i="8"/>
  <c r="AJ12" i="8"/>
  <c r="AI32" i="8"/>
  <c r="AI41" i="8" s="1"/>
  <c r="AH32" i="8"/>
  <c r="AH41" i="8" s="1"/>
  <c r="AD32" i="8"/>
  <c r="AD41" i="8" s="1"/>
  <c r="AC32" i="8"/>
  <c r="AC41" i="8" s="1"/>
  <c r="AA32" i="8"/>
  <c r="AA41" i="8" s="1"/>
  <c r="Z32" i="8"/>
  <c r="Z41" i="8" s="1"/>
  <c r="Y32" i="8"/>
  <c r="Y41" i="8" s="1"/>
  <c r="X32" i="8"/>
  <c r="X41" i="8" s="1"/>
  <c r="V32" i="8"/>
  <c r="V41" i="8" s="1"/>
  <c r="U32" i="8"/>
  <c r="U41" i="8" s="1"/>
  <c r="T32" i="8"/>
  <c r="T41" i="8" s="1"/>
  <c r="S32" i="8"/>
  <c r="S41" i="8" s="1"/>
  <c r="Q32" i="8"/>
  <c r="Q41" i="8" s="1"/>
  <c r="P32" i="8"/>
  <c r="P41" i="8" s="1"/>
  <c r="O32" i="8"/>
  <c r="O41" i="8" s="1"/>
  <c r="N32" i="8"/>
  <c r="N41" i="8" s="1"/>
  <c r="L32" i="8"/>
  <c r="L41" i="8" s="1"/>
  <c r="K32" i="8"/>
  <c r="K41" i="8" s="1"/>
  <c r="J32" i="8"/>
  <c r="J41" i="8" s="1"/>
  <c r="I32" i="8"/>
  <c r="I41" i="8" s="1"/>
  <c r="G32" i="8"/>
  <c r="G41" i="8" s="1"/>
  <c r="F32" i="8"/>
  <c r="F41" i="8" s="1"/>
  <c r="E32" i="8"/>
  <c r="E41" i="8" s="1"/>
  <c r="D32" i="8"/>
  <c r="D41" i="8" s="1"/>
  <c r="AN32" i="8"/>
  <c r="AM32" i="8"/>
  <c r="AK32" i="8"/>
  <c r="AK41" i="8" s="1"/>
  <c r="AJ32" i="8"/>
  <c r="AJ41" i="8" s="1"/>
  <c r="AH38" i="12"/>
  <c r="AG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AN38" i="12"/>
  <c r="AM38" i="12"/>
  <c r="AM27" i="12"/>
  <c r="AL27" i="12"/>
  <c r="AH27" i="12"/>
  <c r="AG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AN27" i="12"/>
  <c r="B27" i="19"/>
  <c r="B26" i="19"/>
  <c r="B21" i="19"/>
  <c r="B20" i="19"/>
  <c r="B15" i="19"/>
  <c r="B14" i="19"/>
  <c r="AM15" i="19"/>
  <c r="AN15" i="19"/>
  <c r="W12" i="7"/>
  <c r="Y12" i="7" s="1"/>
  <c r="AS20" i="6"/>
  <c r="AR20" i="6"/>
  <c r="AV18" i="6"/>
  <c r="AU18" i="6"/>
  <c r="AT18" i="6"/>
  <c r="AS18" i="6"/>
  <c r="AU20" i="6"/>
  <c r="AV20" i="6" s="1"/>
  <c r="AT20" i="6"/>
  <c r="BZ45" i="5" l="1"/>
  <c r="BZ83" i="16" s="1"/>
  <c r="CA45" i="5"/>
  <c r="BY83" i="16"/>
  <c r="BY163" i="5"/>
  <c r="X12" i="7"/>
  <c r="Y11" i="7"/>
  <c r="BA39" i="21"/>
  <c r="BA36" i="21"/>
  <c r="BA25" i="21"/>
  <c r="BA24" i="21"/>
  <c r="BA23" i="21"/>
  <c r="BA22" i="21"/>
  <c r="BA6" i="21"/>
  <c r="AZ6" i="21"/>
  <c r="AY6" i="21"/>
  <c r="AX6" i="21"/>
  <c r="AW6" i="21"/>
  <c r="AW5" i="21"/>
  <c r="AY17" i="19"/>
  <c r="AX17" i="19"/>
  <c r="AW17" i="19"/>
  <c r="BA6" i="19"/>
  <c r="AZ6" i="19"/>
  <c r="AY6" i="19"/>
  <c r="AX6" i="19"/>
  <c r="AW6" i="19"/>
  <c r="AW5" i="19"/>
  <c r="BA14" i="14"/>
  <c r="AY14" i="14"/>
  <c r="AX14" i="14"/>
  <c r="AW14" i="14"/>
  <c r="AY21" i="14"/>
  <c r="AX21" i="14"/>
  <c r="AY20" i="14"/>
  <c r="AX20" i="14"/>
  <c r="AY11" i="14"/>
  <c r="BD17" i="14" s="1"/>
  <c r="AX11" i="14"/>
  <c r="BC17" i="14" s="1"/>
  <c r="BB17" i="14"/>
  <c r="BA6" i="14"/>
  <c r="AZ6" i="14"/>
  <c r="AY6" i="14"/>
  <c r="AX6" i="14"/>
  <c r="AW6" i="14"/>
  <c r="AW5" i="14"/>
  <c r="AX54" i="12"/>
  <c r="AW54" i="12"/>
  <c r="AY66" i="12"/>
  <c r="AX66" i="12"/>
  <c r="AW66" i="12"/>
  <c r="BA56" i="12"/>
  <c r="BA52" i="12"/>
  <c r="AY54" i="12"/>
  <c r="BA41" i="12"/>
  <c r="BA5" i="12"/>
  <c r="AZ5" i="12"/>
  <c r="AY5" i="12"/>
  <c r="AX5" i="12"/>
  <c r="AW5" i="12"/>
  <c r="BA132" i="8"/>
  <c r="BA66" i="8"/>
  <c r="BA59" i="16"/>
  <c r="BA32" i="16"/>
  <c r="BA5" i="16"/>
  <c r="BA60" i="16" s="1"/>
  <c r="AZ5" i="16"/>
  <c r="AZ60" i="16" s="1"/>
  <c r="AY5" i="16"/>
  <c r="AY33" i="16" s="1"/>
  <c r="AX5" i="16"/>
  <c r="AX33" i="16" s="1"/>
  <c r="AW5" i="16"/>
  <c r="AW33" i="16" s="1"/>
  <c r="AW4" i="16"/>
  <c r="AW59" i="16" s="1"/>
  <c r="BA191" i="5"/>
  <c r="AZ191" i="5"/>
  <c r="AY191" i="5"/>
  <c r="AX191" i="5"/>
  <c r="AW191" i="5"/>
  <c r="BA190" i="5"/>
  <c r="AW190" i="5"/>
  <c r="AW163" i="5"/>
  <c r="BA135" i="5"/>
  <c r="AZ135" i="5"/>
  <c r="AY135" i="5"/>
  <c r="AX135" i="5"/>
  <c r="AW135" i="5"/>
  <c r="BA134" i="5"/>
  <c r="AW134" i="5"/>
  <c r="BA85" i="5"/>
  <c r="AZ85" i="5"/>
  <c r="AY85" i="5"/>
  <c r="AX85" i="5"/>
  <c r="AW85" i="5"/>
  <c r="BA84" i="5"/>
  <c r="AW84" i="5"/>
  <c r="BA104" i="8"/>
  <c r="BA124" i="8"/>
  <c r="BA70" i="8"/>
  <c r="BA101" i="8"/>
  <c r="BA117" i="8"/>
  <c r="BZ163" i="5" l="1"/>
  <c r="CA163" i="5"/>
  <c r="CA83" i="16"/>
  <c r="CB45" i="5"/>
  <c r="CA113" i="5"/>
  <c r="BA54" i="12"/>
  <c r="AX23" i="14"/>
  <c r="AY23" i="14"/>
  <c r="BB20" i="14"/>
  <c r="AZ20" i="14"/>
  <c r="AZ33" i="16"/>
  <c r="BA33" i="16"/>
  <c r="BA64" i="8"/>
  <c r="AX83" i="16"/>
  <c r="AY60" i="16"/>
  <c r="AW60" i="16"/>
  <c r="AW32" i="16"/>
  <c r="AX60" i="16"/>
  <c r="CB83" i="16" l="1"/>
  <c r="CB163" i="5"/>
  <c r="CC45" i="5"/>
  <c r="BE163" i="5"/>
  <c r="BA45" i="5"/>
  <c r="AN29" i="5"/>
  <c r="AN10" i="5"/>
  <c r="AN80" i="16"/>
  <c r="AN113" i="16"/>
  <c r="AN110" i="16"/>
  <c r="AN107" i="16"/>
  <c r="AN83" i="16"/>
  <c r="AN81" i="16"/>
  <c r="AN127" i="8"/>
  <c r="AN126" i="8"/>
  <c r="AN123" i="8"/>
  <c r="AN116" i="8"/>
  <c r="AS119" i="8" s="1"/>
  <c r="AN110" i="8"/>
  <c r="AN103" i="8"/>
  <c r="AN100" i="8"/>
  <c r="AN93" i="8"/>
  <c r="AN90" i="8"/>
  <c r="AN82" i="8"/>
  <c r="AN76" i="8"/>
  <c r="AN69" i="8"/>
  <c r="AN53" i="5"/>
  <c r="AN47" i="5"/>
  <c r="AN46" i="5"/>
  <c r="CC83" i="16" l="1"/>
  <c r="CD45" i="5"/>
  <c r="CE45" i="5" s="1"/>
  <c r="CC163" i="5"/>
  <c r="BA83" i="16"/>
  <c r="AS106" i="8"/>
  <c r="AO107" i="8"/>
  <c r="AS113" i="8"/>
  <c r="AO114" i="8"/>
  <c r="AS72" i="8"/>
  <c r="AO73" i="8"/>
  <c r="AS79" i="8"/>
  <c r="AO80" i="8"/>
  <c r="AS114" i="16"/>
  <c r="AO115" i="16"/>
  <c r="AS108" i="16"/>
  <c r="AO109" i="16"/>
  <c r="AN116" i="16"/>
  <c r="CD83" i="16" l="1"/>
  <c r="CD163" i="5"/>
  <c r="CE83" i="16"/>
  <c r="CE163" i="5"/>
  <c r="AM127" i="8"/>
  <c r="AM126" i="8"/>
  <c r="AM123" i="8"/>
  <c r="AM116" i="8"/>
  <c r="AR119" i="8" s="1"/>
  <c r="AM110" i="8"/>
  <c r="AM103" i="8"/>
  <c r="AM100" i="8"/>
  <c r="AM96" i="8"/>
  <c r="AM94" i="8"/>
  <c r="AM93" i="8"/>
  <c r="AM90" i="8"/>
  <c r="AM86" i="8"/>
  <c r="AM83" i="8"/>
  <c r="AM82" i="8"/>
  <c r="AM76" i="8"/>
  <c r="AM69" i="8"/>
  <c r="AM113" i="16"/>
  <c r="AR114" i="16" s="1"/>
  <c r="AM110" i="16"/>
  <c r="AM107" i="16"/>
  <c r="AM81" i="16"/>
  <c r="AM80" i="16"/>
  <c r="AM77" i="16"/>
  <c r="AM41" i="8"/>
  <c r="AM45" i="8" s="1"/>
  <c r="AM53" i="5"/>
  <c r="AM34" i="5"/>
  <c r="AM29" i="5"/>
  <c r="AM24" i="5"/>
  <c r="AM10" i="5"/>
  <c r="AV124" i="8"/>
  <c r="AV117" i="8"/>
  <c r="AN73" i="8" l="1"/>
  <c r="AR72" i="8"/>
  <c r="AN80" i="8"/>
  <c r="AR79" i="8"/>
  <c r="AN114" i="8"/>
  <c r="AR113" i="8"/>
  <c r="AN107" i="8"/>
  <c r="AR106" i="8"/>
  <c r="AN109" i="16"/>
  <c r="AR108" i="16"/>
  <c r="AM87" i="8"/>
  <c r="AM116" i="16"/>
  <c r="AN115" i="16"/>
  <c r="AM98" i="8"/>
  <c r="AM97" i="8"/>
  <c r="AM88" i="8"/>
  <c r="AU5" i="12"/>
  <c r="AT5" i="12"/>
  <c r="AS5" i="12"/>
  <c r="AR5" i="12"/>
  <c r="AQ5" i="12"/>
  <c r="AP5" i="12"/>
  <c r="AO5" i="12"/>
  <c r="AN5" i="12"/>
  <c r="AM5" i="12"/>
  <c r="AL5" i="12"/>
  <c r="AK5" i="12"/>
  <c r="AJ5" i="12"/>
  <c r="AI5" i="12"/>
  <c r="AH5" i="12"/>
  <c r="AG5" i="12"/>
  <c r="AF5" i="12"/>
  <c r="AE5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AV5" i="12"/>
  <c r="AL34" i="21"/>
  <c r="AL33" i="21"/>
  <c r="AL31" i="21"/>
  <c r="AL29" i="21"/>
  <c r="AL28" i="21"/>
  <c r="AL20" i="21"/>
  <c r="AL19" i="21"/>
  <c r="AL18" i="21"/>
  <c r="AL9" i="21"/>
  <c r="AL8" i="21"/>
  <c r="AQ10" i="21" s="1"/>
  <c r="AK51" i="5"/>
  <c r="AQ51" i="5"/>
  <c r="AJ43" i="5"/>
  <c r="AF51" i="5"/>
  <c r="AL51" i="5"/>
  <c r="AG51" i="5"/>
  <c r="AV51" i="5"/>
  <c r="AG43" i="5"/>
  <c r="AH43" i="5"/>
  <c r="AK43" i="5"/>
  <c r="AF43" i="5"/>
  <c r="AH51" i="5"/>
  <c r="AI51" i="5"/>
  <c r="AI43" i="5"/>
  <c r="AJ51" i="5"/>
  <c r="AL43" i="5"/>
  <c r="AQ43" i="5"/>
  <c r="M25" i="21" l="1"/>
  <c r="M24" i="21"/>
  <c r="AL37" i="21"/>
  <c r="AL113" i="16"/>
  <c r="H19" i="16" l="1"/>
  <c r="D19" i="16"/>
  <c r="AM18" i="16"/>
  <c r="AN19" i="16" s="1"/>
  <c r="AK18" i="16"/>
  <c r="AM19" i="16" s="1"/>
  <c r="AJ18" i="16"/>
  <c r="AK19" i="16" s="1"/>
  <c r="AI18" i="16"/>
  <c r="AJ19" i="16" s="1"/>
  <c r="AH18" i="16"/>
  <c r="AI19" i="16" s="1"/>
  <c r="AF18" i="16"/>
  <c r="AH19" i="16" s="1"/>
  <c r="AE18" i="16"/>
  <c r="AF19" i="16" s="1"/>
  <c r="AD18" i="16"/>
  <c r="AE19" i="16" s="1"/>
  <c r="AC18" i="16"/>
  <c r="AD19" i="16" s="1"/>
  <c r="AA18" i="16"/>
  <c r="AC19" i="16" s="1"/>
  <c r="Z18" i="16"/>
  <c r="AA19" i="16" s="1"/>
  <c r="Y18" i="16"/>
  <c r="Z19" i="16" s="1"/>
  <c r="X18" i="16"/>
  <c r="Y19" i="16" s="1"/>
  <c r="V18" i="16"/>
  <c r="U18" i="16"/>
  <c r="T18" i="16"/>
  <c r="U19" i="16" s="1"/>
  <c r="S18" i="16"/>
  <c r="T19" i="16" s="1"/>
  <c r="Q18" i="16"/>
  <c r="S19" i="16" s="1"/>
  <c r="P18" i="16"/>
  <c r="Q19" i="16" s="1"/>
  <c r="O18" i="16"/>
  <c r="P19" i="16" s="1"/>
  <c r="N18" i="16"/>
  <c r="O19" i="16" s="1"/>
  <c r="K18" i="16"/>
  <c r="L19" i="16" s="1"/>
  <c r="J18" i="16"/>
  <c r="K19" i="16" s="1"/>
  <c r="I18" i="16"/>
  <c r="F18" i="16"/>
  <c r="G19" i="16" s="1"/>
  <c r="E18" i="16"/>
  <c r="F19" i="16" s="1"/>
  <c r="D18" i="16"/>
  <c r="E19" i="16" s="1"/>
  <c r="AK17" i="16"/>
  <c r="AJ17" i="16"/>
  <c r="AI17" i="16"/>
  <c r="AH17" i="16"/>
  <c r="AF17" i="16"/>
  <c r="AE17" i="16"/>
  <c r="AD17" i="16"/>
  <c r="AC17" i="16"/>
  <c r="AA17" i="16"/>
  <c r="Z17" i="16"/>
  <c r="Y17" i="16"/>
  <c r="X17" i="16"/>
  <c r="V17" i="16"/>
  <c r="U17" i="16"/>
  <c r="T17" i="16"/>
  <c r="S17" i="16"/>
  <c r="Q17" i="16"/>
  <c r="P17" i="16"/>
  <c r="O17" i="16"/>
  <c r="N17" i="16"/>
  <c r="L17" i="16"/>
  <c r="K17" i="16"/>
  <c r="J17" i="16"/>
  <c r="I17" i="16"/>
  <c r="G17" i="16"/>
  <c r="F17" i="16"/>
  <c r="E17" i="16"/>
  <c r="D17" i="16"/>
  <c r="J19" i="16"/>
  <c r="AK127" i="8"/>
  <c r="AK126" i="8"/>
  <c r="AK123" i="8"/>
  <c r="AK116" i="8"/>
  <c r="AP119" i="8" s="1"/>
  <c r="AK110" i="8"/>
  <c r="AP113" i="8" s="1"/>
  <c r="AK103" i="8"/>
  <c r="AP106" i="8" s="1"/>
  <c r="AK100" i="8"/>
  <c r="AK96" i="8"/>
  <c r="AL94" i="8"/>
  <c r="AK93" i="8"/>
  <c r="AK90" i="8"/>
  <c r="AK86" i="8"/>
  <c r="AL83" i="8"/>
  <c r="AK82" i="8"/>
  <c r="AK76" i="8"/>
  <c r="AP79" i="8" s="1"/>
  <c r="AK69" i="8"/>
  <c r="AP72" i="8" s="1"/>
  <c r="AL79" i="16"/>
  <c r="AL96" i="8" s="1"/>
  <c r="AL78" i="16"/>
  <c r="AL86" i="8" s="1"/>
  <c r="AL81" i="16"/>
  <c r="AK80" i="16"/>
  <c r="AK110" i="16"/>
  <c r="AK107" i="16"/>
  <c r="AP108" i="16" s="1"/>
  <c r="AL77" i="16"/>
  <c r="AK52" i="12"/>
  <c r="AK50" i="12"/>
  <c r="AK49" i="12"/>
  <c r="AK48" i="12"/>
  <c r="AK45" i="12"/>
  <c r="AK44" i="12"/>
  <c r="AK43" i="12"/>
  <c r="AK41" i="12"/>
  <c r="AK35" i="12"/>
  <c r="AK94" i="8" s="1"/>
  <c r="AK34" i="12"/>
  <c r="AK33" i="12"/>
  <c r="AK24" i="12"/>
  <c r="AK20" i="12"/>
  <c r="AK16" i="12"/>
  <c r="AK15" i="12"/>
  <c r="AK14" i="12"/>
  <c r="AK12" i="12"/>
  <c r="AK9" i="12"/>
  <c r="AL36" i="12"/>
  <c r="AL38" i="12" s="1"/>
  <c r="AK14" i="8"/>
  <c r="AK53" i="5"/>
  <c r="AK10" i="5"/>
  <c r="D21" i="16" l="1"/>
  <c r="E21" i="16"/>
  <c r="F21" i="16"/>
  <c r="J21" i="16"/>
  <c r="K21" i="16"/>
  <c r="AL80" i="16"/>
  <c r="AF21" i="16"/>
  <c r="AF7" i="5" s="1"/>
  <c r="P21" i="16"/>
  <c r="AJ21" i="16"/>
  <c r="AJ7" i="5" s="1"/>
  <c r="AH21" i="16"/>
  <c r="AH7" i="5" s="1"/>
  <c r="T21" i="16"/>
  <c r="T7" i="5" s="1"/>
  <c r="AM114" i="8"/>
  <c r="AK87" i="8"/>
  <c r="AM107" i="8"/>
  <c r="Q21" i="16"/>
  <c r="Q7" i="5" s="1"/>
  <c r="AM73" i="8"/>
  <c r="AM80" i="8"/>
  <c r="S21" i="16"/>
  <c r="S7" i="5" s="1"/>
  <c r="U21" i="16"/>
  <c r="U7" i="5" s="1"/>
  <c r="Y21" i="16"/>
  <c r="Y7" i="5" s="1"/>
  <c r="AD21" i="16"/>
  <c r="AD7" i="5" s="1"/>
  <c r="Z21" i="16"/>
  <c r="Z7" i="5" s="1"/>
  <c r="AE21" i="16"/>
  <c r="AE7" i="5" s="1"/>
  <c r="AI21" i="16"/>
  <c r="AI7" i="5" s="1"/>
  <c r="O21" i="16"/>
  <c r="AC21" i="16"/>
  <c r="AC7" i="5" s="1"/>
  <c r="V19" i="16"/>
  <c r="V21" i="16" s="1"/>
  <c r="V7" i="5" s="1"/>
  <c r="AK21" i="16"/>
  <c r="AK7" i="5" s="1"/>
  <c r="X19" i="16"/>
  <c r="X21" i="16" s="1"/>
  <c r="X7" i="5" s="1"/>
  <c r="AA21" i="16"/>
  <c r="AA7" i="5" s="1"/>
  <c r="AK98" i="8"/>
  <c r="AK97" i="8"/>
  <c r="E24" i="16" l="1"/>
  <c r="K23" i="16"/>
  <c r="K24" i="16"/>
  <c r="J23" i="16"/>
  <c r="F24" i="16"/>
  <c r="O23" i="16"/>
  <c r="O7" i="5"/>
  <c r="P23" i="16"/>
  <c r="P7" i="5"/>
  <c r="AH24" i="16"/>
  <c r="AF23" i="16"/>
  <c r="AK24" i="16"/>
  <c r="AE23" i="16"/>
  <c r="U23" i="16"/>
  <c r="T24" i="16"/>
  <c r="Q24" i="16"/>
  <c r="AJ24" i="16"/>
  <c r="Y23" i="16"/>
  <c r="P24" i="16"/>
  <c r="AD24" i="16"/>
  <c r="AK23" i="16"/>
  <c r="T23" i="16"/>
  <c r="AE24" i="16"/>
  <c r="U24" i="16"/>
  <c r="AD23" i="16"/>
  <c r="AI24" i="16"/>
  <c r="AC24" i="16"/>
  <c r="AJ23" i="16"/>
  <c r="AF24" i="16"/>
  <c r="S24" i="16"/>
  <c r="Z24" i="16"/>
  <c r="Y24" i="16"/>
  <c r="AC23" i="16"/>
  <c r="X23" i="16"/>
  <c r="AI23" i="16"/>
  <c r="Z23" i="16"/>
  <c r="AH23" i="16"/>
  <c r="V24" i="16"/>
  <c r="AA23" i="16"/>
  <c r="V23" i="16"/>
  <c r="X24" i="16"/>
  <c r="AA24" i="16"/>
  <c r="L192" i="5"/>
  <c r="K192" i="5"/>
  <c r="J192" i="5"/>
  <c r="I192" i="5"/>
  <c r="G192" i="5"/>
  <c r="F192" i="5"/>
  <c r="E192" i="5"/>
  <c r="L86" i="5"/>
  <c r="K86" i="5"/>
  <c r="J86" i="5"/>
  <c r="I86" i="5"/>
  <c r="G86" i="5"/>
  <c r="F86" i="5"/>
  <c r="E86" i="5"/>
  <c r="D86" i="5"/>
  <c r="AT17" i="19"/>
  <c r="AS17" i="19"/>
  <c r="AR17" i="19"/>
  <c r="AV6" i="19"/>
  <c r="AU6" i="19"/>
  <c r="AT6" i="19"/>
  <c r="AS6" i="19"/>
  <c r="AR6" i="19"/>
  <c r="AR5" i="19"/>
  <c r="AJ80" i="16" l="1"/>
  <c r="AN49" i="16"/>
  <c r="AO49" i="16" s="1"/>
  <c r="AP49" i="16" s="1"/>
  <c r="AR49" i="16" s="1"/>
  <c r="AS49" i="16" s="1"/>
  <c r="AT49" i="16" s="1"/>
  <c r="AU49" i="16" s="1"/>
  <c r="AW49" i="16" s="1"/>
  <c r="AX49" i="16" s="1"/>
  <c r="AY49" i="16" s="1"/>
  <c r="AZ49" i="16" s="1"/>
  <c r="AN48" i="16"/>
  <c r="AO48" i="16" s="1"/>
  <c r="AP48" i="16" s="1"/>
  <c r="AR48" i="16" s="1"/>
  <c r="AS48" i="16" s="1"/>
  <c r="AT48" i="16" s="1"/>
  <c r="AU48" i="16" s="1"/>
  <c r="AW48" i="16" s="1"/>
  <c r="AX48" i="16" s="1"/>
  <c r="AY48" i="16" s="1"/>
  <c r="AZ48" i="16" s="1"/>
  <c r="L136" i="5"/>
  <c r="K136" i="5"/>
  <c r="J136" i="5"/>
  <c r="I136" i="5"/>
  <c r="BA48" i="16" l="1"/>
  <c r="BB48" i="16"/>
  <c r="BC48" i="16" s="1"/>
  <c r="BD48" i="16" s="1"/>
  <c r="BE48" i="16" s="1"/>
  <c r="BA49" i="16"/>
  <c r="BB49" i="16"/>
  <c r="BC49" i="16" s="1"/>
  <c r="BD49" i="16" s="1"/>
  <c r="BE49" i="16" s="1"/>
  <c r="BF49" i="16" l="1"/>
  <c r="BG49" i="16"/>
  <c r="BH49" i="16" s="1"/>
  <c r="BI49" i="16" s="1"/>
  <c r="BJ49" i="16" s="1"/>
  <c r="BF48" i="16"/>
  <c r="BG48" i="16"/>
  <c r="BH48" i="16" s="1"/>
  <c r="BI48" i="16" s="1"/>
  <c r="BJ48" i="16" s="1"/>
  <c r="AW236" i="5"/>
  <c r="AW61" i="8"/>
  <c r="AW180" i="5"/>
  <c r="AJ127" i="8"/>
  <c r="AJ126" i="8"/>
  <c r="AJ123" i="8"/>
  <c r="AJ116" i="8"/>
  <c r="AO119" i="8" s="1"/>
  <c r="AJ110" i="8"/>
  <c r="AJ103" i="8"/>
  <c r="AJ100" i="8"/>
  <c r="AJ96" i="8"/>
  <c r="AJ94" i="8"/>
  <c r="AJ93" i="8"/>
  <c r="AJ90" i="8"/>
  <c r="AJ86" i="8"/>
  <c r="AJ82" i="8"/>
  <c r="AJ76" i="8"/>
  <c r="AJ69" i="8"/>
  <c r="AJ110" i="16"/>
  <c r="AJ107" i="16"/>
  <c r="AJ14" i="8"/>
  <c r="AJ53" i="5"/>
  <c r="AJ21" i="5"/>
  <c r="AK24" i="5" s="1"/>
  <c r="AJ14" i="5"/>
  <c r="AJ10" i="5"/>
  <c r="AJ31" i="5"/>
  <c r="AK34" i="5" s="1"/>
  <c r="AJ26" i="5"/>
  <c r="AK29" i="5" s="1"/>
  <c r="BK48" i="16" l="1"/>
  <c r="BL48" i="16"/>
  <c r="BM48" i="16" s="1"/>
  <c r="BN48" i="16" s="1"/>
  <c r="BO48" i="16" s="1"/>
  <c r="BK49" i="16"/>
  <c r="BL49" i="16"/>
  <c r="BM49" i="16" s="1"/>
  <c r="BN49" i="16" s="1"/>
  <c r="BO49" i="16" s="1"/>
  <c r="AK73" i="8"/>
  <c r="AO72" i="8"/>
  <c r="AK80" i="8"/>
  <c r="AO79" i="8"/>
  <c r="AK107" i="8"/>
  <c r="AO106" i="8"/>
  <c r="AK114" i="8"/>
  <c r="AO113" i="8"/>
  <c r="AK109" i="16"/>
  <c r="AO108" i="16"/>
  <c r="AJ97" i="8"/>
  <c r="AX110" i="16"/>
  <c r="AX180" i="5"/>
  <c r="AX236" i="5"/>
  <c r="AX61" i="8"/>
  <c r="AJ87" i="8"/>
  <c r="AJ98" i="8"/>
  <c r="BP49" i="16" l="1"/>
  <c r="BQ49" i="16"/>
  <c r="BR49" i="16" s="1"/>
  <c r="BS49" i="16" s="1"/>
  <c r="BT49" i="16" s="1"/>
  <c r="BP48" i="16"/>
  <c r="BQ48" i="16"/>
  <c r="BR48" i="16" s="1"/>
  <c r="BS48" i="16" s="1"/>
  <c r="BT48" i="16" s="1"/>
  <c r="AY61" i="8"/>
  <c r="AY180" i="5"/>
  <c r="AY236" i="5"/>
  <c r="AM40" i="16"/>
  <c r="AN40" i="16" s="1"/>
  <c r="AO40" i="16" s="1"/>
  <c r="AP40" i="16" s="1"/>
  <c r="AR40" i="16" s="1"/>
  <c r="AS40" i="16" s="1"/>
  <c r="AT40" i="16" s="1"/>
  <c r="AU40" i="16" s="1"/>
  <c r="AW40" i="16" s="1"/>
  <c r="AX40" i="16" s="1"/>
  <c r="AY40" i="16" s="1"/>
  <c r="AZ40" i="16" s="1"/>
  <c r="AM39" i="16"/>
  <c r="AN39" i="16" s="1"/>
  <c r="AO39" i="16" s="1"/>
  <c r="AP39" i="16" s="1"/>
  <c r="AR39" i="16" s="1"/>
  <c r="AS39" i="16" s="1"/>
  <c r="AT39" i="16" s="1"/>
  <c r="AU39" i="16" s="1"/>
  <c r="AW39" i="16" s="1"/>
  <c r="AX39" i="16" s="1"/>
  <c r="AY39" i="16" s="1"/>
  <c r="AZ39" i="16" s="1"/>
  <c r="AG76" i="16"/>
  <c r="AH76" i="16"/>
  <c r="AQ76" i="16"/>
  <c r="AV76" i="16"/>
  <c r="AV95" i="16"/>
  <c r="AM95" i="16"/>
  <c r="AK76" i="16"/>
  <c r="AK95" i="16"/>
  <c r="AI95" i="16"/>
  <c r="AV84" i="8"/>
  <c r="AO95" i="16"/>
  <c r="AJ76" i="16"/>
  <c r="AP95" i="16"/>
  <c r="AJ95" i="16"/>
  <c r="AG95" i="16"/>
  <c r="AQ95" i="16"/>
  <c r="AF76" i="16"/>
  <c r="AI76" i="16"/>
  <c r="AF95" i="16"/>
  <c r="AL95" i="16"/>
  <c r="AH95" i="16"/>
  <c r="AV104" i="8"/>
  <c r="AV101" i="8"/>
  <c r="AN95" i="16"/>
  <c r="AV70" i="8"/>
  <c r="AL76" i="16"/>
  <c r="BU48" i="16" l="1"/>
  <c r="BV48" i="16"/>
  <c r="BW48" i="16" s="1"/>
  <c r="BX48" i="16" s="1"/>
  <c r="BY48" i="16" s="1"/>
  <c r="BU49" i="16"/>
  <c r="BV49" i="16"/>
  <c r="BW49" i="16" s="1"/>
  <c r="BX49" i="16" s="1"/>
  <c r="BY49" i="16" s="1"/>
  <c r="BA39" i="16"/>
  <c r="BB39" i="16"/>
  <c r="BC39" i="16" s="1"/>
  <c r="BD39" i="16" s="1"/>
  <c r="BE39" i="16" s="1"/>
  <c r="BA40" i="16"/>
  <c r="BB40" i="16"/>
  <c r="BC40" i="16" s="1"/>
  <c r="BD40" i="16" s="1"/>
  <c r="BE40" i="16" s="1"/>
  <c r="BB61" i="8"/>
  <c r="BB236" i="5"/>
  <c r="BB180" i="5"/>
  <c r="BB110" i="16"/>
  <c r="AZ61" i="8"/>
  <c r="AZ236" i="5"/>
  <c r="AZ180" i="5"/>
  <c r="AQ66" i="8"/>
  <c r="AV66" i="8"/>
  <c r="AN66" i="8"/>
  <c r="AJ66" i="8"/>
  <c r="AQ64" i="8"/>
  <c r="AM64" i="8"/>
  <c r="AM66" i="8"/>
  <c r="AP64" i="8"/>
  <c r="AL64" i="8"/>
  <c r="AP66" i="8"/>
  <c r="AL66" i="8"/>
  <c r="AO64" i="8"/>
  <c r="AK64" i="8"/>
  <c r="AO66" i="8"/>
  <c r="AK66" i="8"/>
  <c r="AV64" i="8"/>
  <c r="AN64" i="8"/>
  <c r="AJ64" i="8"/>
  <c r="AV39" i="21"/>
  <c r="AV36" i="21"/>
  <c r="AV25" i="21"/>
  <c r="AV24" i="21"/>
  <c r="AV23" i="21"/>
  <c r="AV22" i="21"/>
  <c r="AV6" i="21"/>
  <c r="AU6" i="21"/>
  <c r="AT6" i="21"/>
  <c r="AS6" i="21"/>
  <c r="AR6" i="21"/>
  <c r="AR5" i="21"/>
  <c r="AV15" i="14"/>
  <c r="AV14" i="14"/>
  <c r="AT14" i="14"/>
  <c r="AS14" i="14"/>
  <c r="AR14" i="14"/>
  <c r="AT20" i="14"/>
  <c r="AS20" i="14"/>
  <c r="AV11" i="14"/>
  <c r="AU8" i="14"/>
  <c r="AV6" i="14"/>
  <c r="AU6" i="14"/>
  <c r="AT6" i="14"/>
  <c r="AS6" i="14"/>
  <c r="AR6" i="14"/>
  <c r="AR5" i="14"/>
  <c r="AV59" i="16"/>
  <c r="AV49" i="16"/>
  <c r="AV48" i="16"/>
  <c r="AV40" i="16"/>
  <c r="AV39" i="16"/>
  <c r="AV32" i="16"/>
  <c r="AV5" i="16"/>
  <c r="AV33" i="16" s="1"/>
  <c r="AU5" i="16"/>
  <c r="AU60" i="16" s="1"/>
  <c r="AT5" i="16"/>
  <c r="AT60" i="16" s="1"/>
  <c r="AS5" i="16"/>
  <c r="AS60" i="16" s="1"/>
  <c r="AR5" i="16"/>
  <c r="AR33" i="16" s="1"/>
  <c r="AR4" i="16"/>
  <c r="AR59" i="16" s="1"/>
  <c r="AU66" i="12"/>
  <c r="AT66" i="12"/>
  <c r="AS66" i="12"/>
  <c r="AR66" i="12"/>
  <c r="AV56" i="12"/>
  <c r="AU54" i="12"/>
  <c r="AT54" i="12"/>
  <c r="AS54" i="12"/>
  <c r="AR54" i="12"/>
  <c r="AV52" i="12"/>
  <c r="AV51" i="12"/>
  <c r="AV50" i="12"/>
  <c r="AV49" i="12"/>
  <c r="AV48" i="12"/>
  <c r="AV47" i="12"/>
  <c r="AV66" i="12" s="1"/>
  <c r="AV46" i="12"/>
  <c r="AV45" i="12"/>
  <c r="AV44" i="12"/>
  <c r="AV43" i="12"/>
  <c r="AV42" i="12"/>
  <c r="AV41" i="12"/>
  <c r="AV36" i="12"/>
  <c r="AV34" i="12"/>
  <c r="AV33" i="12"/>
  <c r="AV31" i="12"/>
  <c r="AV30" i="12"/>
  <c r="AV10" i="12"/>
  <c r="AV9" i="12"/>
  <c r="AV132" i="8"/>
  <c r="AQ16" i="6"/>
  <c r="AP16" i="6"/>
  <c r="AO16" i="6"/>
  <c r="AN16" i="6"/>
  <c r="AM16" i="6"/>
  <c r="BZ48" i="16" l="1"/>
  <c r="CA48" i="16"/>
  <c r="BZ49" i="16"/>
  <c r="CA49" i="16"/>
  <c r="CB49" i="16" s="1"/>
  <c r="CC49" i="16" s="1"/>
  <c r="CD49" i="16" s="1"/>
  <c r="CE49" i="16" s="1"/>
  <c r="AM20" i="6"/>
  <c r="BF40" i="16"/>
  <c r="BG40" i="16"/>
  <c r="BH40" i="16" s="1"/>
  <c r="BI40" i="16" s="1"/>
  <c r="BJ40" i="16" s="1"/>
  <c r="BF39" i="16"/>
  <c r="BG39" i="16"/>
  <c r="BH39" i="16" s="1"/>
  <c r="BI39" i="16" s="1"/>
  <c r="BJ39" i="16" s="1"/>
  <c r="AN18" i="6"/>
  <c r="AM18" i="6"/>
  <c r="AN20" i="6"/>
  <c r="BC236" i="5"/>
  <c r="BC61" i="8"/>
  <c r="BC110" i="16"/>
  <c r="BC180" i="5"/>
  <c r="AZ14" i="14"/>
  <c r="AW20" i="14"/>
  <c r="BA110" i="16"/>
  <c r="BA61" i="8"/>
  <c r="AV54" i="12"/>
  <c r="AR60" i="16"/>
  <c r="AV60" i="16"/>
  <c r="AU20" i="14"/>
  <c r="AS33" i="16"/>
  <c r="AR32" i="16"/>
  <c r="AT33" i="16"/>
  <c r="AU33" i="16"/>
  <c r="AO18" i="6"/>
  <c r="AP18" i="6"/>
  <c r="AO20" i="6"/>
  <c r="AQ18" i="6"/>
  <c r="AP20" i="6"/>
  <c r="AQ20" i="6" s="1"/>
  <c r="AV191" i="5"/>
  <c r="AU191" i="5"/>
  <c r="AT191" i="5"/>
  <c r="AS191" i="5"/>
  <c r="AR191" i="5"/>
  <c r="AV190" i="5"/>
  <c r="AR190" i="5"/>
  <c r="AV135" i="5"/>
  <c r="AU135" i="5"/>
  <c r="AT135" i="5"/>
  <c r="AS135" i="5"/>
  <c r="AR135" i="5"/>
  <c r="AV134" i="5"/>
  <c r="AR134" i="5"/>
  <c r="AV85" i="5"/>
  <c r="AU85" i="5"/>
  <c r="AT85" i="5"/>
  <c r="AS85" i="5"/>
  <c r="AR85" i="5"/>
  <c r="AV84" i="5"/>
  <c r="AR84" i="5"/>
  <c r="CB48" i="16" l="1"/>
  <c r="CC48" i="16" s="1"/>
  <c r="CD48" i="16" s="1"/>
  <c r="CE48" i="16" s="1"/>
  <c r="BK39" i="16"/>
  <c r="BL39" i="16"/>
  <c r="BM39" i="16" s="1"/>
  <c r="BN39" i="16" s="1"/>
  <c r="BO39" i="16" s="1"/>
  <c r="BK40" i="16"/>
  <c r="BL40" i="16"/>
  <c r="BM40" i="16" s="1"/>
  <c r="BN40" i="16" s="1"/>
  <c r="BO40" i="16" s="1"/>
  <c r="BD236" i="5"/>
  <c r="BD110" i="16"/>
  <c r="BD61" i="8"/>
  <c r="BD180" i="5"/>
  <c r="AW92" i="16"/>
  <c r="AY92" i="16" s="1"/>
  <c r="AW91" i="16"/>
  <c r="AY91" i="16" s="1"/>
  <c r="AQ39" i="21"/>
  <c r="AL39" i="21"/>
  <c r="AG39" i="21"/>
  <c r="AB39" i="21"/>
  <c r="W39" i="21"/>
  <c r="R39" i="21"/>
  <c r="M39" i="21"/>
  <c r="H39" i="21"/>
  <c r="AI127" i="8"/>
  <c r="AI126" i="8"/>
  <c r="AI123" i="8"/>
  <c r="AI116" i="8"/>
  <c r="AN119" i="8" s="1"/>
  <c r="AI110" i="8"/>
  <c r="AI103" i="8"/>
  <c r="AI100" i="8"/>
  <c r="AI96" i="8"/>
  <c r="AI94" i="8"/>
  <c r="AI93" i="8"/>
  <c r="AI90" i="8"/>
  <c r="AI86" i="8"/>
  <c r="AI82" i="8"/>
  <c r="AI76" i="8"/>
  <c r="AI69" i="8"/>
  <c r="AI110" i="16"/>
  <c r="AI107" i="16"/>
  <c r="AI80" i="16"/>
  <c r="AI56" i="12"/>
  <c r="AI51" i="12"/>
  <c r="AI47" i="12"/>
  <c r="AI46" i="12"/>
  <c r="AI42" i="12"/>
  <c r="AI36" i="12"/>
  <c r="AI32" i="12"/>
  <c r="AI31" i="12"/>
  <c r="AI30" i="12"/>
  <c r="AI17" i="12"/>
  <c r="AI25" i="12"/>
  <c r="AI23" i="12"/>
  <c r="AI22" i="12"/>
  <c r="AI21" i="12"/>
  <c r="AI19" i="12"/>
  <c r="AI18" i="12"/>
  <c r="AI13" i="12"/>
  <c r="AI11" i="12"/>
  <c r="AI113" i="16" s="1"/>
  <c r="AN114" i="16" s="1"/>
  <c r="AI10" i="12"/>
  <c r="AI8" i="12"/>
  <c r="AI81" i="16" s="1"/>
  <c r="AI7" i="12"/>
  <c r="AI14" i="8"/>
  <c r="AI53" i="5"/>
  <c r="AI26" i="5"/>
  <c r="AI21" i="5"/>
  <c r="AJ24" i="5" s="1"/>
  <c r="AI14" i="5"/>
  <c r="AI31" i="5"/>
  <c r="AJ34" i="5" s="1"/>
  <c r="AI10" i="5"/>
  <c r="AQ25" i="21"/>
  <c r="AL25" i="21"/>
  <c r="AG25" i="21"/>
  <c r="AB25" i="21"/>
  <c r="W25" i="21"/>
  <c r="R25" i="21"/>
  <c r="H25" i="21"/>
  <c r="AQ22" i="21"/>
  <c r="AL22" i="21"/>
  <c r="AG22" i="21"/>
  <c r="AB22" i="21"/>
  <c r="W22" i="21"/>
  <c r="H22" i="21"/>
  <c r="M22" i="21"/>
  <c r="R22" i="21"/>
  <c r="BP40" i="16" l="1"/>
  <c r="BQ40" i="16"/>
  <c r="BR40" i="16" s="1"/>
  <c r="BS40" i="16" s="1"/>
  <c r="BT40" i="16" s="1"/>
  <c r="BP39" i="16"/>
  <c r="BQ39" i="16"/>
  <c r="BR39" i="16" s="1"/>
  <c r="BS39" i="16" s="1"/>
  <c r="BT39" i="16" s="1"/>
  <c r="BG110" i="16"/>
  <c r="BG236" i="5"/>
  <c r="BG180" i="5"/>
  <c r="BG61" i="8"/>
  <c r="AV92" i="16"/>
  <c r="AX92" i="16" s="1"/>
  <c r="BE110" i="16"/>
  <c r="BE61" i="8"/>
  <c r="BE180" i="5"/>
  <c r="BE236" i="5"/>
  <c r="BF62" i="5"/>
  <c r="BB92" i="16"/>
  <c r="AV91" i="16"/>
  <c r="AX91" i="16" s="1"/>
  <c r="BB91" i="16"/>
  <c r="AJ107" i="8"/>
  <c r="AN106" i="8"/>
  <c r="AJ80" i="8"/>
  <c r="AN79" i="8"/>
  <c r="AJ114" i="8"/>
  <c r="AN113" i="8"/>
  <c r="AJ73" i="8"/>
  <c r="AN72" i="8"/>
  <c r="AI38" i="12"/>
  <c r="AI27" i="12"/>
  <c r="AJ29" i="5"/>
  <c r="AJ109" i="16"/>
  <c r="AN108" i="16"/>
  <c r="AJ10" i="12"/>
  <c r="AK10" i="12" s="1"/>
  <c r="AJ25" i="12"/>
  <c r="AK25" i="12" s="1"/>
  <c r="AJ32" i="12"/>
  <c r="AJ83" i="8" s="1"/>
  <c r="AJ88" i="8" s="1"/>
  <c r="AJ47" i="12"/>
  <c r="AK47" i="12" s="1"/>
  <c r="AI83" i="8"/>
  <c r="AI88" i="8" s="1"/>
  <c r="AJ11" i="12"/>
  <c r="AJ113" i="16" s="1"/>
  <c r="AJ17" i="12"/>
  <c r="AK17" i="12" s="1"/>
  <c r="AJ51" i="12"/>
  <c r="AK51" i="12" s="1"/>
  <c r="AJ7" i="12"/>
  <c r="AJ13" i="12"/>
  <c r="AK13" i="12" s="1"/>
  <c r="AJ22" i="12"/>
  <c r="AK22" i="12" s="1"/>
  <c r="AJ30" i="12"/>
  <c r="AJ42" i="12"/>
  <c r="AK42" i="12" s="1"/>
  <c r="AJ56" i="12"/>
  <c r="AK56" i="12" s="1"/>
  <c r="AJ19" i="12"/>
  <c r="AK19" i="12" s="1"/>
  <c r="AJ21" i="12"/>
  <c r="AK21" i="12" s="1"/>
  <c r="AJ36" i="12"/>
  <c r="AK36" i="12" s="1"/>
  <c r="AJ8" i="12"/>
  <c r="AJ81" i="16" s="1"/>
  <c r="AJ18" i="12"/>
  <c r="AK18" i="12" s="1"/>
  <c r="AJ23" i="12"/>
  <c r="AK23" i="12" s="1"/>
  <c r="AJ31" i="12"/>
  <c r="AK31" i="12" s="1"/>
  <c r="AJ46" i="12"/>
  <c r="AK46" i="12" s="1"/>
  <c r="AI77" i="16"/>
  <c r="AI87" i="8"/>
  <c r="AI98" i="8"/>
  <c r="AI97" i="8"/>
  <c r="AI116" i="16"/>
  <c r="W24" i="21"/>
  <c r="H24" i="21"/>
  <c r="R24" i="21"/>
  <c r="AB24" i="21"/>
  <c r="AG24" i="21"/>
  <c r="AG23" i="21"/>
  <c r="AB23" i="21"/>
  <c r="W23" i="21"/>
  <c r="R23" i="21"/>
  <c r="AG37" i="21"/>
  <c r="BU39" i="16" l="1"/>
  <c r="BV39" i="16"/>
  <c r="BU40" i="16"/>
  <c r="BV40" i="16"/>
  <c r="BW40" i="16" s="1"/>
  <c r="BX40" i="16" s="1"/>
  <c r="BY40" i="16" s="1"/>
  <c r="BH180" i="5"/>
  <c r="BH236" i="5"/>
  <c r="BH61" i="8"/>
  <c r="BH110" i="16"/>
  <c r="BA92" i="16"/>
  <c r="BC92" i="16"/>
  <c r="BD92" i="16" s="1"/>
  <c r="BE92" i="16" s="1"/>
  <c r="BG92" i="16" s="1"/>
  <c r="BC91" i="16"/>
  <c r="BD91" i="16" s="1"/>
  <c r="BE91" i="16" s="1"/>
  <c r="BF180" i="5"/>
  <c r="BF110" i="16"/>
  <c r="BF61" i="8"/>
  <c r="AJ115" i="16"/>
  <c r="AO114" i="16"/>
  <c r="BA91" i="16"/>
  <c r="AK30" i="12"/>
  <c r="AJ38" i="12"/>
  <c r="AJ77" i="16"/>
  <c r="AJ27" i="12"/>
  <c r="AK7" i="12"/>
  <c r="AK8" i="12"/>
  <c r="AK81" i="16" s="1"/>
  <c r="AK11" i="12"/>
  <c r="AK113" i="16" s="1"/>
  <c r="AJ116" i="16"/>
  <c r="AK32" i="12"/>
  <c r="AK83" i="8" s="1"/>
  <c r="AK88" i="8" s="1"/>
  <c r="AH80" i="16"/>
  <c r="BZ40" i="16" l="1"/>
  <c r="CA40" i="16"/>
  <c r="CB40" i="16" s="1"/>
  <c r="CC40" i="16" s="1"/>
  <c r="CD40" i="16" s="1"/>
  <c r="CE40" i="16" s="1"/>
  <c r="BW39" i="16"/>
  <c r="BX39" i="16" s="1"/>
  <c r="BY39" i="16" s="1"/>
  <c r="BV42" i="16"/>
  <c r="BH92" i="16"/>
  <c r="BI92" i="16" s="1"/>
  <c r="BJ92" i="16" s="1"/>
  <c r="BL92" i="16" s="1"/>
  <c r="BF91" i="16"/>
  <c r="BG91" i="16"/>
  <c r="BH91" i="16" s="1"/>
  <c r="BI91" i="16" s="1"/>
  <c r="BJ91" i="16" s="1"/>
  <c r="BI236" i="5"/>
  <c r="BI180" i="5"/>
  <c r="BI61" i="8"/>
  <c r="BI110" i="16"/>
  <c r="BF92" i="16"/>
  <c r="AK116" i="16"/>
  <c r="AP114" i="16"/>
  <c r="AK38" i="12"/>
  <c r="AK77" i="16"/>
  <c r="AK27" i="12"/>
  <c r="AK115" i="16"/>
  <c r="AH127" i="8"/>
  <c r="AH126" i="8"/>
  <c r="AH123" i="8"/>
  <c r="AH116" i="8"/>
  <c r="AM119" i="8" s="1"/>
  <c r="AH110" i="8"/>
  <c r="AH103" i="8"/>
  <c r="AH100" i="8"/>
  <c r="AH96" i="8"/>
  <c r="AH94" i="8"/>
  <c r="AH93" i="8"/>
  <c r="AH90" i="8"/>
  <c r="AH86" i="8"/>
  <c r="AH83" i="8"/>
  <c r="AH82" i="8"/>
  <c r="AH76" i="8"/>
  <c r="AH69" i="8"/>
  <c r="AH113" i="16"/>
  <c r="AH110" i="16"/>
  <c r="AH107" i="16"/>
  <c r="AH81" i="16"/>
  <c r="AH77" i="16"/>
  <c r="AP66" i="12"/>
  <c r="AO66" i="12"/>
  <c r="AN66" i="12"/>
  <c r="AM66" i="12"/>
  <c r="AK66" i="12"/>
  <c r="AJ66" i="12"/>
  <c r="AI66" i="12"/>
  <c r="AH66" i="12"/>
  <c r="AG66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8" i="12"/>
  <c r="K68" i="12"/>
  <c r="J68" i="12"/>
  <c r="I68" i="12"/>
  <c r="G68" i="12"/>
  <c r="F68" i="12"/>
  <c r="E68" i="12"/>
  <c r="D68" i="12"/>
  <c r="H66" i="12"/>
  <c r="AQ51" i="12"/>
  <c r="AF51" i="12"/>
  <c r="BZ39" i="16" l="1"/>
  <c r="CA39" i="16"/>
  <c r="BK91" i="16"/>
  <c r="BL91" i="16"/>
  <c r="BM92" i="16"/>
  <c r="BN92" i="16" s="1"/>
  <c r="BO92" i="16" s="1"/>
  <c r="BK62" i="5"/>
  <c r="D50" i="7" s="1"/>
  <c r="BK92" i="16"/>
  <c r="BJ236" i="5"/>
  <c r="BJ61" i="8"/>
  <c r="BJ110" i="16"/>
  <c r="BJ180" i="5"/>
  <c r="AI109" i="16"/>
  <c r="AM108" i="16"/>
  <c r="AI115" i="16"/>
  <c r="AM114" i="16"/>
  <c r="AI107" i="8"/>
  <c r="AM106" i="8"/>
  <c r="AI73" i="8"/>
  <c r="AM72" i="8"/>
  <c r="AI80" i="8"/>
  <c r="AM79" i="8"/>
  <c r="AI114" i="8"/>
  <c r="AM113" i="8"/>
  <c r="AH116" i="16"/>
  <c r="AH98" i="8"/>
  <c r="AH87" i="8"/>
  <c r="AH97" i="8"/>
  <c r="AH88" i="8"/>
  <c r="CB39" i="16" l="1"/>
  <c r="CC39" i="16" s="1"/>
  <c r="CD39" i="16" s="1"/>
  <c r="CE39" i="16" s="1"/>
  <c r="CA42" i="16"/>
  <c r="BK61" i="8"/>
  <c r="BP92" i="16"/>
  <c r="BQ92" i="16"/>
  <c r="BM91" i="16"/>
  <c r="BN91" i="16" s="1"/>
  <c r="BL61" i="8"/>
  <c r="BL110" i="16"/>
  <c r="BK180" i="5"/>
  <c r="BK110" i="16"/>
  <c r="BL180" i="5"/>
  <c r="BL236" i="5"/>
  <c r="AR61" i="8"/>
  <c r="AR180" i="5"/>
  <c r="AR236" i="5"/>
  <c r="AH53" i="5"/>
  <c r="AH31" i="5"/>
  <c r="AI34" i="5" s="1"/>
  <c r="AH26" i="5"/>
  <c r="AI29" i="5" s="1"/>
  <c r="AH21" i="5"/>
  <c r="AI24" i="5" s="1"/>
  <c r="AH14" i="5"/>
  <c r="AH10" i="5"/>
  <c r="BO91" i="16" l="1"/>
  <c r="BQ91" i="16" s="1"/>
  <c r="BR91" i="16" s="1"/>
  <c r="BS91" i="16" s="1"/>
  <c r="BT91" i="16" s="1"/>
  <c r="BV91" i="16" s="1"/>
  <c r="BR92" i="16"/>
  <c r="BS92" i="16" s="1"/>
  <c r="BT92" i="16" s="1"/>
  <c r="BV92" i="16" s="1"/>
  <c r="BM110" i="16"/>
  <c r="BM61" i="8"/>
  <c r="BM236" i="5"/>
  <c r="BM180" i="5"/>
  <c r="AS61" i="8"/>
  <c r="AS236" i="5"/>
  <c r="AS180" i="5"/>
  <c r="BP91" i="16" l="1"/>
  <c r="BW91" i="16"/>
  <c r="BX91" i="16" s="1"/>
  <c r="BY91" i="16" s="1"/>
  <c r="CA91" i="16" s="1"/>
  <c r="BW92" i="16"/>
  <c r="BX92" i="16" s="1"/>
  <c r="BY92" i="16" s="1"/>
  <c r="CA92" i="16" s="1"/>
  <c r="BU91" i="16"/>
  <c r="BU92" i="16"/>
  <c r="BQ236" i="5"/>
  <c r="BQ180" i="5"/>
  <c r="BQ110" i="16"/>
  <c r="BN110" i="16"/>
  <c r="BN61" i="8"/>
  <c r="BN236" i="5"/>
  <c r="BN180" i="5"/>
  <c r="AT61" i="8"/>
  <c r="AT180" i="5"/>
  <c r="AT236" i="5"/>
  <c r="X164" i="5"/>
  <c r="CB91" i="16" l="1"/>
  <c r="CC91" i="16" s="1"/>
  <c r="CD91" i="16" s="1"/>
  <c r="CB92" i="16"/>
  <c r="CC92" i="16" s="1"/>
  <c r="CD92" i="16" s="1"/>
  <c r="CE92" i="16"/>
  <c r="CA62" i="5"/>
  <c r="BV236" i="5"/>
  <c r="BV180" i="5"/>
  <c r="BV61" i="8"/>
  <c r="BV110" i="16"/>
  <c r="BZ91" i="16"/>
  <c r="BZ92" i="16"/>
  <c r="BR110" i="16"/>
  <c r="BR180" i="5"/>
  <c r="BR236" i="5"/>
  <c r="BP62" i="5"/>
  <c r="BP74" i="5" s="1"/>
  <c r="BO61" i="8"/>
  <c r="BO110" i="16"/>
  <c r="BO236" i="5"/>
  <c r="BO180" i="5"/>
  <c r="AU61" i="8"/>
  <c r="AU180" i="5"/>
  <c r="AU236" i="5"/>
  <c r="BA180" i="5"/>
  <c r="AB36" i="21"/>
  <c r="AG36" i="21"/>
  <c r="AQ23" i="21"/>
  <c r="AL23" i="21"/>
  <c r="AG49" i="16"/>
  <c r="AG48" i="16"/>
  <c r="CE91" i="16" l="1"/>
  <c r="CA110" i="16"/>
  <c r="CA61" i="8"/>
  <c r="CA180" i="5"/>
  <c r="CB62" i="5"/>
  <c r="CA236" i="5"/>
  <c r="BW110" i="16"/>
  <c r="BW61" i="8"/>
  <c r="BW236" i="5"/>
  <c r="BW180" i="5"/>
  <c r="BX236" i="5"/>
  <c r="BX110" i="16"/>
  <c r="BX180" i="5"/>
  <c r="BZ62" i="5"/>
  <c r="BX61" i="8"/>
  <c r="BS110" i="16"/>
  <c r="BS236" i="5"/>
  <c r="BS180" i="5"/>
  <c r="BU62" i="5"/>
  <c r="BP180" i="5"/>
  <c r="BP61" i="8"/>
  <c r="BP110" i="16"/>
  <c r="AV61" i="8"/>
  <c r="AV110" i="16"/>
  <c r="AQ91" i="16"/>
  <c r="AL91" i="16"/>
  <c r="AG91" i="16"/>
  <c r="AB91" i="16"/>
  <c r="W91" i="16"/>
  <c r="R91" i="16"/>
  <c r="M91" i="16"/>
  <c r="H91" i="16"/>
  <c r="AG79" i="16"/>
  <c r="AG78" i="16"/>
  <c r="AF80" i="16"/>
  <c r="AG113" i="16"/>
  <c r="AL114" i="16" s="1"/>
  <c r="AF110" i="16"/>
  <c r="AF107" i="16"/>
  <c r="AK108" i="16" s="1"/>
  <c r="AG81" i="16"/>
  <c r="AG77" i="16"/>
  <c r="AG94" i="8"/>
  <c r="AG83" i="8"/>
  <c r="AF69" i="8"/>
  <c r="AF76" i="8"/>
  <c r="AF82" i="8"/>
  <c r="AF90" i="8"/>
  <c r="AF93" i="8"/>
  <c r="AF100" i="8"/>
  <c r="AF103" i="8"/>
  <c r="AF110" i="8"/>
  <c r="AF116" i="8"/>
  <c r="AK119" i="8" s="1"/>
  <c r="AF123" i="8"/>
  <c r="AF126" i="8"/>
  <c r="AF127" i="8"/>
  <c r="AG69" i="5"/>
  <c r="BP70" i="8"/>
  <c r="BP101" i="8"/>
  <c r="BP117" i="8"/>
  <c r="BP104" i="8"/>
  <c r="BU79" i="5" l="1"/>
  <c r="BU78" i="5" s="1"/>
  <c r="BU74" i="5"/>
  <c r="BZ74" i="5"/>
  <c r="CB110" i="16"/>
  <c r="CB61" i="8"/>
  <c r="CC62" i="5"/>
  <c r="CB180" i="5"/>
  <c r="CB236" i="5"/>
  <c r="BU80" i="5"/>
  <c r="BY180" i="5"/>
  <c r="BY236" i="5"/>
  <c r="BY110" i="16"/>
  <c r="BY61" i="8"/>
  <c r="BZ61" i="8"/>
  <c r="BZ110" i="16"/>
  <c r="BZ180" i="5"/>
  <c r="BU110" i="16"/>
  <c r="BU61" i="8"/>
  <c r="BU180" i="5"/>
  <c r="BT110" i="16"/>
  <c r="BT236" i="5"/>
  <c r="BT180" i="5"/>
  <c r="BT61" i="8"/>
  <c r="AG80" i="16"/>
  <c r="AH114" i="8"/>
  <c r="AK113" i="8"/>
  <c r="AH80" i="8"/>
  <c r="AK79" i="8"/>
  <c r="AH107" i="8"/>
  <c r="AK106" i="8"/>
  <c r="AH73" i="8"/>
  <c r="AK72" i="8"/>
  <c r="AG64" i="5"/>
  <c r="CC61" i="8" l="1"/>
  <c r="CD62" i="5"/>
  <c r="CC110" i="16"/>
  <c r="CC236" i="5"/>
  <c r="CC180" i="5"/>
  <c r="AF11" i="5"/>
  <c r="AF10" i="5"/>
  <c r="BZ104" i="8"/>
  <c r="BZ101" i="8"/>
  <c r="BZ70" i="8"/>
  <c r="BU117" i="8"/>
  <c r="BU104" i="8"/>
  <c r="BU101" i="8"/>
  <c r="BU70" i="8"/>
  <c r="BZ117" i="8"/>
  <c r="CD110" i="16" l="1"/>
  <c r="CD61" i="8"/>
  <c r="CD180" i="5"/>
  <c r="CD236" i="5"/>
  <c r="CE62" i="5"/>
  <c r="AF53" i="5"/>
  <c r="AF31" i="5"/>
  <c r="AH34" i="5" s="1"/>
  <c r="AF26" i="5"/>
  <c r="AH29" i="5" s="1"/>
  <c r="AF21" i="5"/>
  <c r="AH24" i="5" s="1"/>
  <c r="AF14" i="5"/>
  <c r="CE180" i="5" l="1"/>
  <c r="CE110" i="16"/>
  <c r="CE6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M133" i="8" l="1"/>
  <c r="O134" i="8"/>
  <c r="N134" i="8"/>
  <c r="P134" i="8"/>
  <c r="L133" i="8"/>
  <c r="AE80" i="16" l="1"/>
  <c r="D5" i="21"/>
  <c r="I5" i="21"/>
  <c r="N5" i="21"/>
  <c r="S5" i="21"/>
  <c r="X5" i="21"/>
  <c r="AC5" i="21"/>
  <c r="AH5" i="21"/>
  <c r="AM5" i="21"/>
  <c r="AP6" i="21"/>
  <c r="AO6" i="21"/>
  <c r="AN6" i="21"/>
  <c r="AM6" i="21"/>
  <c r="AL6" i="21"/>
  <c r="AK6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AQ6" i="21"/>
  <c r="AQ36" i="21"/>
  <c r="AQ24" i="21"/>
  <c r="D5" i="14"/>
  <c r="I5" i="14"/>
  <c r="N5" i="14"/>
  <c r="S5" i="14"/>
  <c r="X5" i="14"/>
  <c r="AC5" i="14"/>
  <c r="AH5" i="14"/>
  <c r="AM5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AQ6" i="14"/>
  <c r="AQ15" i="14"/>
  <c r="AN15" i="14"/>
  <c r="AM15" i="14"/>
  <c r="AQ14" i="14"/>
  <c r="AN14" i="14"/>
  <c r="AM14" i="14"/>
  <c r="AO21" i="14"/>
  <c r="AN21" i="14"/>
  <c r="AO20" i="14"/>
  <c r="AN20" i="14"/>
  <c r="AQ11" i="14"/>
  <c r="AV17" i="14" s="1"/>
  <c r="AO11" i="14"/>
  <c r="AN11" i="14"/>
  <c r="AM11" i="14"/>
  <c r="D5" i="19"/>
  <c r="I5" i="19"/>
  <c r="N5" i="19"/>
  <c r="S5" i="19"/>
  <c r="X5" i="19"/>
  <c r="AC5" i="19"/>
  <c r="AH5" i="19"/>
  <c r="AM5" i="19"/>
  <c r="AP6" i="19"/>
  <c r="AO6" i="19"/>
  <c r="AN6" i="19"/>
  <c r="AM6" i="19"/>
  <c r="AL6" i="19"/>
  <c r="AK6" i="19"/>
  <c r="AJ6" i="19"/>
  <c r="AI6" i="19"/>
  <c r="AH6" i="19"/>
  <c r="AG6" i="19"/>
  <c r="AF6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AQ6" i="19"/>
  <c r="AO17" i="19"/>
  <c r="AN17" i="19"/>
  <c r="AM17" i="19"/>
  <c r="D4" i="16"/>
  <c r="I4" i="16"/>
  <c r="N4" i="16"/>
  <c r="S4" i="16"/>
  <c r="X4" i="16"/>
  <c r="AC4" i="16"/>
  <c r="AH4" i="16"/>
  <c r="AM4" i="16"/>
  <c r="AM32" i="16" s="1"/>
  <c r="AP5" i="16"/>
  <c r="AP60" i="16" s="1"/>
  <c r="AO5" i="16"/>
  <c r="AO33" i="16" s="1"/>
  <c r="AN5" i="16"/>
  <c r="AN60" i="16" s="1"/>
  <c r="AM5" i="16"/>
  <c r="AM60" i="16" s="1"/>
  <c r="AL5" i="16"/>
  <c r="AK5" i="16"/>
  <c r="AJ5" i="16"/>
  <c r="AI5" i="16"/>
  <c r="AH5" i="16"/>
  <c r="AG5" i="16"/>
  <c r="AF5" i="16"/>
  <c r="AE5" i="16"/>
  <c r="AD5" i="16"/>
  <c r="AC5" i="16"/>
  <c r="AB5" i="16"/>
  <c r="AA5" i="16"/>
  <c r="Z5" i="16"/>
  <c r="Y5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AQ5" i="16"/>
  <c r="AQ60" i="16" s="1"/>
  <c r="AQ92" i="16"/>
  <c r="AQ59" i="16"/>
  <c r="AQ32" i="16"/>
  <c r="AQ56" i="12"/>
  <c r="AP54" i="12"/>
  <c r="AO54" i="12"/>
  <c r="AN54" i="12"/>
  <c r="AN58" i="12" s="1"/>
  <c r="AM54" i="12"/>
  <c r="AM58" i="12" s="1"/>
  <c r="AQ52" i="12"/>
  <c r="AQ50" i="12"/>
  <c r="AQ49" i="12"/>
  <c r="AQ48" i="12"/>
  <c r="AQ47" i="12"/>
  <c r="AQ66" i="12" s="1"/>
  <c r="AQ46" i="12"/>
  <c r="AQ45" i="12"/>
  <c r="AQ44" i="12"/>
  <c r="AQ43" i="12"/>
  <c r="AQ42" i="12"/>
  <c r="AQ41" i="12"/>
  <c r="AQ30" i="12"/>
  <c r="AP21" i="14" l="1"/>
  <c r="AR20" i="14"/>
  <c r="AU14" i="14"/>
  <c r="AP33" i="16"/>
  <c r="AM59" i="16"/>
  <c r="AQ54" i="12"/>
  <c r="AM33" i="16"/>
  <c r="AN33" i="16"/>
  <c r="AQ33" i="16"/>
  <c r="AO60" i="16"/>
  <c r="AN23" i="14"/>
  <c r="AO23" i="14"/>
  <c r="AP11" i="14"/>
  <c r="AP20" i="14"/>
  <c r="AP23" i="14" l="1"/>
  <c r="AQ191" i="5"/>
  <c r="AP191" i="5"/>
  <c r="AO191" i="5"/>
  <c r="AN191" i="5"/>
  <c r="AM191" i="5"/>
  <c r="AQ190" i="5"/>
  <c r="AM190" i="5"/>
  <c r="AQ135" i="5"/>
  <c r="AP135" i="5"/>
  <c r="AO135" i="5"/>
  <c r="AN135" i="5"/>
  <c r="AM135" i="5"/>
  <c r="AQ134" i="5"/>
  <c r="AM134" i="5"/>
  <c r="AQ85" i="5"/>
  <c r="AP85" i="5"/>
  <c r="AO85" i="5"/>
  <c r="AN85" i="5"/>
  <c r="AM85" i="5"/>
  <c r="AQ84" i="5"/>
  <c r="AM84" i="5"/>
  <c r="AN17" i="16"/>
  <c r="AI21" i="6" l="1"/>
  <c r="AN100" i="16"/>
  <c r="AN34" i="19"/>
  <c r="AN8" i="19" s="1"/>
  <c r="AN8" i="16"/>
  <c r="AN77" i="12"/>
  <c r="AN34" i="14"/>
  <c r="AN36" i="16"/>
  <c r="AN58" i="8"/>
  <c r="AO17" i="16"/>
  <c r="AM17" i="16"/>
  <c r="AM21" i="16" s="1"/>
  <c r="AN87" i="5"/>
  <c r="AN137" i="5"/>
  <c r="AN120" i="8" s="1"/>
  <c r="AN121" i="8" s="1"/>
  <c r="AJ11" i="5"/>
  <c r="AI11" i="5"/>
  <c r="AH11" i="5"/>
  <c r="AE11" i="5"/>
  <c r="AE10" i="5"/>
  <c r="AD11" i="5"/>
  <c r="AD10" i="5"/>
  <c r="AC11" i="5"/>
  <c r="AC10" i="5"/>
  <c r="AA11" i="5"/>
  <c r="AA10" i="5"/>
  <c r="Z11" i="5"/>
  <c r="Z10" i="5"/>
  <c r="Y11" i="5"/>
  <c r="Y10" i="5"/>
  <c r="X11" i="5"/>
  <c r="X10" i="5"/>
  <c r="V11" i="5"/>
  <c r="V10" i="5"/>
  <c r="U11" i="5"/>
  <c r="U10" i="5"/>
  <c r="T11" i="5"/>
  <c r="T10" i="5"/>
  <c r="S11" i="5"/>
  <c r="S10" i="5"/>
  <c r="Q11" i="5"/>
  <c r="Q10" i="5"/>
  <c r="P11" i="5"/>
  <c r="P10" i="5"/>
  <c r="O11" i="5"/>
  <c r="O10" i="5"/>
  <c r="N11" i="5"/>
  <c r="N10" i="5"/>
  <c r="L11" i="5"/>
  <c r="L10" i="5"/>
  <c r="K11" i="5"/>
  <c r="K10" i="5"/>
  <c r="J11" i="5"/>
  <c r="J10" i="5"/>
  <c r="I11" i="5"/>
  <c r="I10" i="5"/>
  <c r="G11" i="5"/>
  <c r="F11" i="5"/>
  <c r="E11" i="5"/>
  <c r="AC34" i="5"/>
  <c r="AA34" i="5"/>
  <c r="Z34" i="5"/>
  <c r="Y34" i="5"/>
  <c r="X34" i="5"/>
  <c r="V34" i="5"/>
  <c r="U34" i="5"/>
  <c r="T34" i="5"/>
  <c r="S34" i="5"/>
  <c r="Q34" i="5"/>
  <c r="P34" i="5"/>
  <c r="O34" i="5"/>
  <c r="N34" i="5"/>
  <c r="L34" i="5"/>
  <c r="K34" i="5"/>
  <c r="J34" i="5"/>
  <c r="I34" i="5"/>
  <c r="G34" i="5"/>
  <c r="F34" i="5"/>
  <c r="E34" i="5"/>
  <c r="AC33" i="5"/>
  <c r="AA33" i="5"/>
  <c r="Z33" i="5"/>
  <c r="Y33" i="5"/>
  <c r="X33" i="5"/>
  <c r="V33" i="5"/>
  <c r="U33" i="5"/>
  <c r="T33" i="5"/>
  <c r="S33" i="5"/>
  <c r="Q33" i="5"/>
  <c r="P33" i="5"/>
  <c r="O33" i="5"/>
  <c r="N33" i="5"/>
  <c r="L33" i="5"/>
  <c r="K33" i="5"/>
  <c r="J33" i="5"/>
  <c r="I33" i="5"/>
  <c r="AC29" i="5"/>
  <c r="AA29" i="5"/>
  <c r="Z29" i="5"/>
  <c r="Y29" i="5"/>
  <c r="X29" i="5"/>
  <c r="V29" i="5"/>
  <c r="U29" i="5"/>
  <c r="T29" i="5"/>
  <c r="S29" i="5"/>
  <c r="Q29" i="5"/>
  <c r="P29" i="5"/>
  <c r="O29" i="5"/>
  <c r="N29" i="5"/>
  <c r="L29" i="5"/>
  <c r="K29" i="5"/>
  <c r="J29" i="5"/>
  <c r="I29" i="5"/>
  <c r="G29" i="5"/>
  <c r="F29" i="5"/>
  <c r="E29" i="5"/>
  <c r="AC28" i="5"/>
  <c r="AA28" i="5"/>
  <c r="Z28" i="5"/>
  <c r="Y28" i="5"/>
  <c r="X28" i="5"/>
  <c r="V28" i="5"/>
  <c r="U28" i="5"/>
  <c r="T28" i="5"/>
  <c r="S28" i="5"/>
  <c r="Q28" i="5"/>
  <c r="P28" i="5"/>
  <c r="O28" i="5"/>
  <c r="N28" i="5"/>
  <c r="L28" i="5"/>
  <c r="K28" i="5"/>
  <c r="J28" i="5"/>
  <c r="I28" i="5"/>
  <c r="AC24" i="5"/>
  <c r="AC23" i="5"/>
  <c r="AA24" i="5"/>
  <c r="Z24" i="5"/>
  <c r="Y24" i="5"/>
  <c r="X24" i="5"/>
  <c r="AA23" i="5"/>
  <c r="Z23" i="5"/>
  <c r="Y23" i="5"/>
  <c r="X23" i="5"/>
  <c r="V24" i="5"/>
  <c r="U24" i="5"/>
  <c r="T24" i="5"/>
  <c r="S24" i="5"/>
  <c r="V23" i="5"/>
  <c r="U23" i="5"/>
  <c r="T23" i="5"/>
  <c r="S23" i="5"/>
  <c r="Q24" i="5"/>
  <c r="P24" i="5"/>
  <c r="O24" i="5"/>
  <c r="N24" i="5"/>
  <c r="Q23" i="5"/>
  <c r="P23" i="5"/>
  <c r="O23" i="5"/>
  <c r="N23" i="5"/>
  <c r="G24" i="5"/>
  <c r="F24" i="5"/>
  <c r="E24" i="5"/>
  <c r="L24" i="5"/>
  <c r="K24" i="5"/>
  <c r="J24" i="5"/>
  <c r="I24" i="5"/>
  <c r="L23" i="5"/>
  <c r="K23" i="5"/>
  <c r="J23" i="5"/>
  <c r="I23" i="5"/>
  <c r="AE236" i="5"/>
  <c r="AD236" i="5"/>
  <c r="AC236" i="5"/>
  <c r="AC227" i="5"/>
  <c r="AE221" i="5"/>
  <c r="AD221" i="5"/>
  <c r="AC221" i="5"/>
  <c r="AE220" i="5"/>
  <c r="AD220" i="5"/>
  <c r="AC220" i="5"/>
  <c r="AE219" i="5"/>
  <c r="AD219" i="5"/>
  <c r="AC219" i="5"/>
  <c r="AC208" i="5"/>
  <c r="AC205" i="5"/>
  <c r="AC202" i="5"/>
  <c r="AC195" i="5"/>
  <c r="AE193" i="5"/>
  <c r="AD193" i="5"/>
  <c r="AC193" i="5"/>
  <c r="AA236" i="5"/>
  <c r="Z236" i="5"/>
  <c r="Y236" i="5"/>
  <c r="X236" i="5"/>
  <c r="AA227" i="5"/>
  <c r="Z227" i="5"/>
  <c r="Y227" i="5"/>
  <c r="X227" i="5"/>
  <c r="AA221" i="5"/>
  <c r="Z221" i="5"/>
  <c r="Y221" i="5"/>
  <c r="X221" i="5"/>
  <c r="AA220" i="5"/>
  <c r="Z220" i="5"/>
  <c r="Y220" i="5"/>
  <c r="X220" i="5"/>
  <c r="AA219" i="5"/>
  <c r="Z219" i="5"/>
  <c r="Y219" i="5"/>
  <c r="X219" i="5"/>
  <c r="AA208" i="5"/>
  <c r="Z208" i="5"/>
  <c r="Y208" i="5"/>
  <c r="X208" i="5"/>
  <c r="AA205" i="5"/>
  <c r="Z205" i="5"/>
  <c r="Y205" i="5"/>
  <c r="X205" i="5"/>
  <c r="AA202" i="5"/>
  <c r="Z202" i="5"/>
  <c r="Y202" i="5"/>
  <c r="X202" i="5"/>
  <c r="AA195" i="5"/>
  <c r="Z195" i="5"/>
  <c r="Y195" i="5"/>
  <c r="X195" i="5"/>
  <c r="AA193" i="5"/>
  <c r="Z193" i="5"/>
  <c r="Y193" i="5"/>
  <c r="X193" i="5"/>
  <c r="V236" i="5"/>
  <c r="U236" i="5"/>
  <c r="T236" i="5"/>
  <c r="S236" i="5"/>
  <c r="V227" i="5"/>
  <c r="U227" i="5"/>
  <c r="T227" i="5"/>
  <c r="S227" i="5"/>
  <c r="V221" i="5"/>
  <c r="T221" i="5"/>
  <c r="S221" i="5"/>
  <c r="U220" i="5"/>
  <c r="V219" i="5"/>
  <c r="U219" i="5"/>
  <c r="T219" i="5"/>
  <c r="S219" i="5"/>
  <c r="V208" i="5"/>
  <c r="U208" i="5"/>
  <c r="T208" i="5"/>
  <c r="S208" i="5"/>
  <c r="V205" i="5"/>
  <c r="U205" i="5"/>
  <c r="T205" i="5"/>
  <c r="S205" i="5"/>
  <c r="V202" i="5"/>
  <c r="U202" i="5"/>
  <c r="T202" i="5"/>
  <c r="S202" i="5"/>
  <c r="V195" i="5"/>
  <c r="U195" i="5"/>
  <c r="T195" i="5"/>
  <c r="S195" i="5"/>
  <c r="V193" i="5"/>
  <c r="U193" i="5"/>
  <c r="T193" i="5"/>
  <c r="S193" i="5"/>
  <c r="Q236" i="5"/>
  <c r="P236" i="5"/>
  <c r="O236" i="5"/>
  <c r="N236" i="5"/>
  <c r="Q227" i="5"/>
  <c r="P227" i="5"/>
  <c r="O227" i="5"/>
  <c r="N227" i="5"/>
  <c r="Q221" i="5"/>
  <c r="P221" i="5"/>
  <c r="O221" i="5"/>
  <c r="N221" i="5"/>
  <c r="Q220" i="5"/>
  <c r="P220" i="5"/>
  <c r="O220" i="5"/>
  <c r="N220" i="5"/>
  <c r="Q219" i="5"/>
  <c r="P219" i="5"/>
  <c r="O219" i="5"/>
  <c r="N219" i="5"/>
  <c r="Q208" i="5"/>
  <c r="P208" i="5"/>
  <c r="O208" i="5"/>
  <c r="N208" i="5"/>
  <c r="Q205" i="5"/>
  <c r="P205" i="5"/>
  <c r="O205" i="5"/>
  <c r="N205" i="5"/>
  <c r="Q202" i="5"/>
  <c r="P202" i="5"/>
  <c r="O202" i="5"/>
  <c r="N202" i="5"/>
  <c r="Q195" i="5"/>
  <c r="P195" i="5"/>
  <c r="O195" i="5"/>
  <c r="N195" i="5"/>
  <c r="Q193" i="5"/>
  <c r="P193" i="5"/>
  <c r="O193" i="5"/>
  <c r="N193" i="5"/>
  <c r="L236" i="5"/>
  <c r="L227" i="5"/>
  <c r="L221" i="5"/>
  <c r="L220" i="5"/>
  <c r="L219" i="5"/>
  <c r="L208" i="5"/>
  <c r="L205" i="5"/>
  <c r="L202" i="5"/>
  <c r="L195" i="5"/>
  <c r="L193" i="5"/>
  <c r="K236" i="5"/>
  <c r="K227" i="5"/>
  <c r="K221" i="5"/>
  <c r="K220" i="5"/>
  <c r="K219" i="5"/>
  <c r="K208" i="5"/>
  <c r="K205" i="5"/>
  <c r="K202" i="5"/>
  <c r="K195" i="5"/>
  <c r="K193" i="5"/>
  <c r="J236" i="5"/>
  <c r="J227" i="5"/>
  <c r="J221" i="5"/>
  <c r="J220" i="5"/>
  <c r="J219" i="5"/>
  <c r="J208" i="5"/>
  <c r="J205" i="5"/>
  <c r="J202" i="5"/>
  <c r="J195" i="5"/>
  <c r="J193" i="5"/>
  <c r="G236" i="5"/>
  <c r="G227" i="5"/>
  <c r="G221" i="5"/>
  <c r="G220" i="5"/>
  <c r="G219" i="5"/>
  <c r="G208" i="5"/>
  <c r="G205" i="5"/>
  <c r="G202" i="5"/>
  <c r="G195" i="5"/>
  <c r="G193" i="5"/>
  <c r="F236" i="5"/>
  <c r="F227" i="5"/>
  <c r="F221" i="5"/>
  <c r="F220" i="5"/>
  <c r="F219" i="5"/>
  <c r="F208" i="5"/>
  <c r="F205" i="5"/>
  <c r="F202" i="5"/>
  <c r="F195" i="5"/>
  <c r="F193" i="5"/>
  <c r="I193" i="5"/>
  <c r="I236" i="5"/>
  <c r="I227" i="5"/>
  <c r="I221" i="5"/>
  <c r="I220" i="5"/>
  <c r="I219" i="5"/>
  <c r="I208" i="5"/>
  <c r="I205" i="5"/>
  <c r="I202" i="5"/>
  <c r="I195" i="5"/>
  <c r="E193" i="5"/>
  <c r="E236" i="5"/>
  <c r="E227" i="5"/>
  <c r="E221" i="5"/>
  <c r="E220" i="5"/>
  <c r="E219" i="5"/>
  <c r="E208" i="5"/>
  <c r="E205" i="5"/>
  <c r="E202" i="5"/>
  <c r="E195" i="5"/>
  <c r="AE180" i="5"/>
  <c r="AD180" i="5"/>
  <c r="AC180" i="5"/>
  <c r="AA180" i="5"/>
  <c r="Z180" i="5"/>
  <c r="Y180" i="5"/>
  <c r="X180" i="5"/>
  <c r="V180" i="5"/>
  <c r="U180" i="5"/>
  <c r="T180" i="5"/>
  <c r="S180" i="5"/>
  <c r="Q180" i="5"/>
  <c r="P180" i="5"/>
  <c r="O180" i="5"/>
  <c r="N180" i="5"/>
  <c r="L180" i="5"/>
  <c r="K180" i="5"/>
  <c r="J180" i="5"/>
  <c r="AC171" i="5"/>
  <c r="AA171" i="5"/>
  <c r="Z171" i="5"/>
  <c r="Y171" i="5"/>
  <c r="X171" i="5"/>
  <c r="V171" i="5"/>
  <c r="U171" i="5"/>
  <c r="T171" i="5"/>
  <c r="S171" i="5"/>
  <c r="Q171" i="5"/>
  <c r="P171" i="5"/>
  <c r="O171" i="5"/>
  <c r="N171" i="5"/>
  <c r="L171" i="5"/>
  <c r="K171" i="5"/>
  <c r="J171" i="5"/>
  <c r="AE165" i="5"/>
  <c r="AD165" i="5"/>
  <c r="AC165" i="5"/>
  <c r="AA165" i="5"/>
  <c r="Z165" i="5"/>
  <c r="Y165" i="5"/>
  <c r="X165" i="5"/>
  <c r="V165" i="5"/>
  <c r="U165" i="5"/>
  <c r="T165" i="5"/>
  <c r="S165" i="5"/>
  <c r="Q165" i="5"/>
  <c r="P165" i="5"/>
  <c r="O165" i="5"/>
  <c r="N165" i="5"/>
  <c r="L165" i="5"/>
  <c r="K165" i="5"/>
  <c r="J165" i="5"/>
  <c r="AE164" i="5"/>
  <c r="AD164" i="5"/>
  <c r="AC164" i="5"/>
  <c r="AA164" i="5"/>
  <c r="Y164" i="5"/>
  <c r="U164" i="5"/>
  <c r="T164" i="5"/>
  <c r="S164" i="5"/>
  <c r="Q164" i="5"/>
  <c r="P164" i="5"/>
  <c r="O164" i="5"/>
  <c r="N164" i="5"/>
  <c r="L164" i="5"/>
  <c r="K164" i="5"/>
  <c r="J164" i="5"/>
  <c r="AE163" i="5"/>
  <c r="AD163" i="5"/>
  <c r="AC163" i="5"/>
  <c r="AA163" i="5"/>
  <c r="Z163" i="5"/>
  <c r="Y163" i="5"/>
  <c r="X163" i="5"/>
  <c r="V163" i="5"/>
  <c r="U163" i="5"/>
  <c r="T163" i="5"/>
  <c r="S163" i="5"/>
  <c r="Q163" i="5"/>
  <c r="P163" i="5"/>
  <c r="O163" i="5"/>
  <c r="N163" i="5"/>
  <c r="L163" i="5"/>
  <c r="K163" i="5"/>
  <c r="J163" i="5"/>
  <c r="AC152" i="5"/>
  <c r="AA152" i="5"/>
  <c r="Z152" i="5"/>
  <c r="Y152" i="5"/>
  <c r="X152" i="5"/>
  <c r="V152" i="5"/>
  <c r="U152" i="5"/>
  <c r="T152" i="5"/>
  <c r="S152" i="5"/>
  <c r="Q152" i="5"/>
  <c r="P152" i="5"/>
  <c r="O152" i="5"/>
  <c r="N152" i="5"/>
  <c r="L152" i="5"/>
  <c r="K152" i="5"/>
  <c r="J152" i="5"/>
  <c r="AC149" i="5"/>
  <c r="AA149" i="5"/>
  <c r="Z149" i="5"/>
  <c r="Y149" i="5"/>
  <c r="X149" i="5"/>
  <c r="V149" i="5"/>
  <c r="U149" i="5"/>
  <c r="T149" i="5"/>
  <c r="S149" i="5"/>
  <c r="Q149" i="5"/>
  <c r="P149" i="5"/>
  <c r="O149" i="5"/>
  <c r="N149" i="5"/>
  <c r="L149" i="5"/>
  <c r="K149" i="5"/>
  <c r="J149" i="5"/>
  <c r="AC146" i="5"/>
  <c r="AA146" i="5"/>
  <c r="Z146" i="5"/>
  <c r="Y146" i="5"/>
  <c r="X146" i="5"/>
  <c r="V146" i="5"/>
  <c r="U146" i="5"/>
  <c r="T146" i="5"/>
  <c r="S146" i="5"/>
  <c r="Q146" i="5"/>
  <c r="P146" i="5"/>
  <c r="O146" i="5"/>
  <c r="N146" i="5"/>
  <c r="L146" i="5"/>
  <c r="K146" i="5"/>
  <c r="J146" i="5"/>
  <c r="AC139" i="5"/>
  <c r="AA139" i="5"/>
  <c r="Z139" i="5"/>
  <c r="Y139" i="5"/>
  <c r="X139" i="5"/>
  <c r="V139" i="5"/>
  <c r="U139" i="5"/>
  <c r="T139" i="5"/>
  <c r="S139" i="5"/>
  <c r="Q139" i="5"/>
  <c r="P139" i="5"/>
  <c r="O139" i="5"/>
  <c r="N139" i="5"/>
  <c r="L139" i="5"/>
  <c r="K139" i="5"/>
  <c r="J139" i="5"/>
  <c r="AE137" i="5"/>
  <c r="AD137" i="5"/>
  <c r="AC137" i="5"/>
  <c r="AA137" i="5"/>
  <c r="Z137" i="5"/>
  <c r="Y137" i="5"/>
  <c r="X137" i="5"/>
  <c r="V137" i="5"/>
  <c r="U137" i="5"/>
  <c r="T137" i="5"/>
  <c r="S137" i="5"/>
  <c r="Q137" i="5"/>
  <c r="P137" i="5"/>
  <c r="O137" i="5"/>
  <c r="N137" i="5"/>
  <c r="L137" i="5"/>
  <c r="K137" i="5"/>
  <c r="J137" i="5"/>
  <c r="I146" i="5"/>
  <c r="I180" i="5"/>
  <c r="I171" i="5"/>
  <c r="I165" i="5"/>
  <c r="I163" i="5"/>
  <c r="I152" i="5"/>
  <c r="I149" i="5"/>
  <c r="I139" i="5"/>
  <c r="I137" i="5"/>
  <c r="AC121" i="5"/>
  <c r="AA121" i="5"/>
  <c r="Z121" i="5"/>
  <c r="Y121" i="5"/>
  <c r="X121" i="5"/>
  <c r="V121" i="5"/>
  <c r="U121" i="5"/>
  <c r="T121" i="5"/>
  <c r="S121" i="5"/>
  <c r="Q121" i="5"/>
  <c r="P121" i="5"/>
  <c r="O121" i="5"/>
  <c r="N121" i="5"/>
  <c r="L121" i="5"/>
  <c r="K121" i="5"/>
  <c r="J121" i="5"/>
  <c r="I121" i="5"/>
  <c r="G121" i="5"/>
  <c r="F121" i="5"/>
  <c r="E121" i="5"/>
  <c r="AE115" i="5"/>
  <c r="AD115" i="5"/>
  <c r="AC115" i="5"/>
  <c r="AA115" i="5"/>
  <c r="Z115" i="5"/>
  <c r="Y115" i="5"/>
  <c r="X115" i="5"/>
  <c r="V115" i="5"/>
  <c r="U115" i="5"/>
  <c r="T115" i="5"/>
  <c r="S115" i="5"/>
  <c r="Q115" i="5"/>
  <c r="P115" i="5"/>
  <c r="O115" i="5"/>
  <c r="N115" i="5"/>
  <c r="L115" i="5"/>
  <c r="K115" i="5"/>
  <c r="J115" i="5"/>
  <c r="I115" i="5"/>
  <c r="G115" i="5"/>
  <c r="F115" i="5"/>
  <c r="E115" i="5"/>
  <c r="AE114" i="5"/>
  <c r="AD114" i="5"/>
  <c r="AC114" i="5"/>
  <c r="AA114" i="5"/>
  <c r="Z114" i="5"/>
  <c r="Y114" i="5"/>
  <c r="X114" i="5"/>
  <c r="V114" i="5"/>
  <c r="U114" i="5"/>
  <c r="T114" i="5"/>
  <c r="S114" i="5"/>
  <c r="Q114" i="5"/>
  <c r="P114" i="5"/>
  <c r="O114" i="5"/>
  <c r="N114" i="5"/>
  <c r="L114" i="5"/>
  <c r="K114" i="5"/>
  <c r="J114" i="5"/>
  <c r="I114" i="5"/>
  <c r="G114" i="5"/>
  <c r="F114" i="5"/>
  <c r="E114" i="5"/>
  <c r="AE113" i="5"/>
  <c r="AD113" i="5"/>
  <c r="AC113" i="5"/>
  <c r="AA113" i="5"/>
  <c r="Z113" i="5"/>
  <c r="Y113" i="5"/>
  <c r="X113" i="5"/>
  <c r="V113" i="5"/>
  <c r="U113" i="5"/>
  <c r="T113" i="5"/>
  <c r="S113" i="5"/>
  <c r="Q113" i="5"/>
  <c r="P113" i="5"/>
  <c r="O113" i="5"/>
  <c r="N113" i="5"/>
  <c r="L113" i="5"/>
  <c r="K113" i="5"/>
  <c r="J113" i="5"/>
  <c r="I113" i="5"/>
  <c r="G113" i="5"/>
  <c r="F113" i="5"/>
  <c r="E113" i="5"/>
  <c r="AC102" i="5"/>
  <c r="AA102" i="5"/>
  <c r="Z102" i="5"/>
  <c r="Y102" i="5"/>
  <c r="X102" i="5"/>
  <c r="V102" i="5"/>
  <c r="U102" i="5"/>
  <c r="T102" i="5"/>
  <c r="S102" i="5"/>
  <c r="Q102" i="5"/>
  <c r="P102" i="5"/>
  <c r="O102" i="5"/>
  <c r="N102" i="5"/>
  <c r="L102" i="5"/>
  <c r="K102" i="5"/>
  <c r="J102" i="5"/>
  <c r="I102" i="5"/>
  <c r="G102" i="5"/>
  <c r="F102" i="5"/>
  <c r="E102" i="5"/>
  <c r="AC99" i="5"/>
  <c r="AA99" i="5"/>
  <c r="Z99" i="5"/>
  <c r="Y99" i="5"/>
  <c r="X99" i="5"/>
  <c r="V99" i="5"/>
  <c r="U99" i="5"/>
  <c r="T99" i="5"/>
  <c r="S99" i="5"/>
  <c r="Q99" i="5"/>
  <c r="P99" i="5"/>
  <c r="O99" i="5"/>
  <c r="N99" i="5"/>
  <c r="L99" i="5"/>
  <c r="K99" i="5"/>
  <c r="J99" i="5"/>
  <c r="I99" i="5"/>
  <c r="G99" i="5"/>
  <c r="F99" i="5"/>
  <c r="E99" i="5"/>
  <c r="AC96" i="5"/>
  <c r="AA96" i="5"/>
  <c r="Z96" i="5"/>
  <c r="Y96" i="5"/>
  <c r="X96" i="5"/>
  <c r="V96" i="5"/>
  <c r="U96" i="5"/>
  <c r="T96" i="5"/>
  <c r="S96" i="5"/>
  <c r="Q96" i="5"/>
  <c r="P96" i="5"/>
  <c r="O96" i="5"/>
  <c r="N96" i="5"/>
  <c r="L96" i="5"/>
  <c r="K96" i="5"/>
  <c r="J96" i="5"/>
  <c r="I96" i="5"/>
  <c r="G96" i="5"/>
  <c r="F96" i="5"/>
  <c r="E96" i="5"/>
  <c r="AC89" i="5"/>
  <c r="AA89" i="5"/>
  <c r="Z89" i="5"/>
  <c r="Y89" i="5"/>
  <c r="X89" i="5"/>
  <c r="V89" i="5"/>
  <c r="U89" i="5"/>
  <c r="T89" i="5"/>
  <c r="S89" i="5"/>
  <c r="Q89" i="5"/>
  <c r="P89" i="5"/>
  <c r="O89" i="5"/>
  <c r="N89" i="5"/>
  <c r="L89" i="5"/>
  <c r="K89" i="5"/>
  <c r="J89" i="5"/>
  <c r="I89" i="5"/>
  <c r="G89" i="5"/>
  <c r="F89" i="5"/>
  <c r="E89" i="5"/>
  <c r="AE87" i="5"/>
  <c r="AD87" i="5"/>
  <c r="AC87" i="5"/>
  <c r="AA87" i="5"/>
  <c r="Z87" i="5"/>
  <c r="Y87" i="5"/>
  <c r="X87" i="5"/>
  <c r="V87" i="5"/>
  <c r="U87" i="5"/>
  <c r="T87" i="5"/>
  <c r="S87" i="5"/>
  <c r="Q87" i="5"/>
  <c r="P87" i="5"/>
  <c r="O87" i="5"/>
  <c r="N87" i="5"/>
  <c r="L87" i="5"/>
  <c r="K87" i="5"/>
  <c r="J87" i="5"/>
  <c r="I87" i="5"/>
  <c r="G87" i="5"/>
  <c r="F87" i="5"/>
  <c r="E87" i="5"/>
  <c r="D121" i="5"/>
  <c r="D115" i="5"/>
  <c r="D114" i="5"/>
  <c r="D113" i="5"/>
  <c r="D102" i="5"/>
  <c r="D99" i="5"/>
  <c r="D96" i="5"/>
  <c r="D89" i="5"/>
  <c r="D87" i="5"/>
  <c r="AM7" i="5" l="1"/>
  <c r="AM26" i="16"/>
  <c r="AS69" i="19"/>
  <c r="AN71" i="8"/>
  <c r="AS34" i="19"/>
  <c r="AS8" i="19" s="1"/>
  <c r="AS9" i="19" s="1"/>
  <c r="AS17" i="16"/>
  <c r="AM23" i="16"/>
  <c r="AM24" i="16"/>
  <c r="AS34" i="14"/>
  <c r="AS100" i="16"/>
  <c r="AS8" i="16"/>
  <c r="AS58" i="8"/>
  <c r="AS36" i="16"/>
  <c r="AS77" i="12"/>
  <c r="AN21" i="6"/>
  <c r="AS137" i="5"/>
  <c r="AS120" i="8" s="1"/>
  <c r="AS121" i="8" s="1"/>
  <c r="AS87" i="5"/>
  <c r="AH21" i="6"/>
  <c r="AR69" i="19"/>
  <c r="AN193" i="5"/>
  <c r="AO11" i="5"/>
  <c r="AJ21" i="6"/>
  <c r="AN38" i="16"/>
  <c r="AO87" i="5"/>
  <c r="AO34" i="19"/>
  <c r="AO8" i="16"/>
  <c r="AO77" i="12"/>
  <c r="AO34" i="14"/>
  <c r="AO36" i="16"/>
  <c r="AO100" i="16"/>
  <c r="AO58" i="8"/>
  <c r="AO71" i="8" s="1"/>
  <c r="AO137" i="5"/>
  <c r="AO120" i="8" s="1"/>
  <c r="AO121" i="8" s="1"/>
  <c r="AN9" i="19"/>
  <c r="AO193" i="5"/>
  <c r="AM137" i="5"/>
  <c r="AM120" i="8" s="1"/>
  <c r="AM121" i="8" s="1"/>
  <c r="AM36" i="16"/>
  <c r="AM100" i="16"/>
  <c r="AM34" i="19"/>
  <c r="AM8" i="16"/>
  <c r="AM34" i="14"/>
  <c r="AM77" i="12"/>
  <c r="AN79" i="12" s="1"/>
  <c r="AM58" i="8"/>
  <c r="AM11" i="5"/>
  <c r="AM193" i="5"/>
  <c r="AM87" i="5"/>
  <c r="AN11" i="5"/>
  <c r="AN27" i="14"/>
  <c r="AN35" i="14"/>
  <c r="AN26" i="14"/>
  <c r="AL65" i="16"/>
  <c r="AG65" i="16"/>
  <c r="AB65" i="16"/>
  <c r="W65" i="16"/>
  <c r="R65" i="16"/>
  <c r="M65" i="16"/>
  <c r="H65" i="16"/>
  <c r="AE68" i="16"/>
  <c r="AE127" i="8"/>
  <c r="AE126" i="8"/>
  <c r="AE123" i="8"/>
  <c r="AE116" i="8"/>
  <c r="AJ119" i="8" s="1"/>
  <c r="AE110" i="8"/>
  <c r="AE103" i="8"/>
  <c r="AE100" i="8"/>
  <c r="AE96" i="8"/>
  <c r="AE93" i="8"/>
  <c r="AE90" i="8"/>
  <c r="AE86" i="8"/>
  <c r="AE82" i="8"/>
  <c r="AE76" i="8"/>
  <c r="AE69" i="8"/>
  <c r="AE110" i="16"/>
  <c r="AE107" i="16"/>
  <c r="AE53" i="5"/>
  <c r="AE67" i="16" s="1"/>
  <c r="AE31" i="5"/>
  <c r="AF34" i="5" s="1"/>
  <c r="AE26" i="5"/>
  <c r="AF29" i="5" s="1"/>
  <c r="AE21" i="5"/>
  <c r="AF24" i="5" s="1"/>
  <c r="AE14" i="5"/>
  <c r="AE16" i="5" s="1"/>
  <c r="E83" i="8"/>
  <c r="J83" i="8"/>
  <c r="J82" i="8"/>
  <c r="J87" i="8" s="1"/>
  <c r="I82" i="8"/>
  <c r="H64" i="12"/>
  <c r="Q68" i="16"/>
  <c r="R68" i="16" s="1"/>
  <c r="D59" i="16"/>
  <c r="H59" i="16"/>
  <c r="I59" i="16"/>
  <c r="M59" i="16"/>
  <c r="N59" i="16"/>
  <c r="R59" i="16"/>
  <c r="S59" i="16"/>
  <c r="W59" i="16"/>
  <c r="X59" i="16"/>
  <c r="AB59" i="16"/>
  <c r="AC59" i="16"/>
  <c r="AL59" i="16"/>
  <c r="AH59" i="16"/>
  <c r="AL32" i="16"/>
  <c r="AH32" i="16"/>
  <c r="AG32" i="16"/>
  <c r="AC32" i="16"/>
  <c r="AB32" i="16"/>
  <c r="X32" i="16"/>
  <c r="W32" i="16"/>
  <c r="S32" i="16"/>
  <c r="R32" i="16"/>
  <c r="N32" i="16"/>
  <c r="M32" i="16"/>
  <c r="I32" i="16"/>
  <c r="H32" i="16"/>
  <c r="D32" i="16"/>
  <c r="AC33" i="16"/>
  <c r="AD33" i="16"/>
  <c r="AE33" i="16"/>
  <c r="AF33" i="16"/>
  <c r="AG33" i="16"/>
  <c r="AH33" i="16"/>
  <c r="AI33" i="16"/>
  <c r="AJ33" i="16"/>
  <c r="AK33" i="16"/>
  <c r="AL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AB33" i="16"/>
  <c r="AD18" i="12"/>
  <c r="AD21" i="12"/>
  <c r="AD22" i="12"/>
  <c r="H51" i="16"/>
  <c r="G51" i="16"/>
  <c r="F51" i="16"/>
  <c r="E51" i="16"/>
  <c r="D51" i="16"/>
  <c r="H42" i="16"/>
  <c r="G42" i="16"/>
  <c r="F42" i="16"/>
  <c r="E42" i="16"/>
  <c r="D42" i="16"/>
  <c r="K115" i="16"/>
  <c r="J115" i="16"/>
  <c r="F115" i="16"/>
  <c r="E115" i="16"/>
  <c r="K114" i="16"/>
  <c r="J114" i="16"/>
  <c r="I114" i="16"/>
  <c r="S81" i="16"/>
  <c r="T81" i="16"/>
  <c r="U81" i="16"/>
  <c r="V81" i="16"/>
  <c r="W81" i="16"/>
  <c r="X81" i="16"/>
  <c r="Y81" i="16"/>
  <c r="Z81" i="16"/>
  <c r="AA81" i="16"/>
  <c r="AB81" i="16"/>
  <c r="AC81" i="16"/>
  <c r="R81" i="16"/>
  <c r="Q81" i="16"/>
  <c r="P81" i="16"/>
  <c r="O81" i="16"/>
  <c r="N81" i="16"/>
  <c r="M81" i="16"/>
  <c r="H81" i="16"/>
  <c r="AC94" i="8"/>
  <c r="AB94" i="8"/>
  <c r="AA94" i="8"/>
  <c r="Z94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H94" i="8"/>
  <c r="G94" i="8"/>
  <c r="G123" i="8"/>
  <c r="L123" i="8"/>
  <c r="N123" i="8"/>
  <c r="O123" i="8"/>
  <c r="P123" i="8"/>
  <c r="Q123" i="8"/>
  <c r="S123" i="8"/>
  <c r="T123" i="8"/>
  <c r="U123" i="8"/>
  <c r="V123" i="8"/>
  <c r="X123" i="8"/>
  <c r="Y123" i="8"/>
  <c r="Z123" i="8"/>
  <c r="AA123" i="8"/>
  <c r="AC123" i="8"/>
  <c r="AD123" i="8"/>
  <c r="G120" i="8"/>
  <c r="G121" i="8" s="1"/>
  <c r="H120" i="8"/>
  <c r="H121" i="8" s="1"/>
  <c r="G116" i="8"/>
  <c r="L116" i="8"/>
  <c r="N116" i="8"/>
  <c r="O116" i="8"/>
  <c r="P116" i="8"/>
  <c r="Q116" i="8"/>
  <c r="S116" i="8"/>
  <c r="T116" i="8"/>
  <c r="U116" i="8"/>
  <c r="V116" i="8"/>
  <c r="X116" i="8"/>
  <c r="Y116" i="8"/>
  <c r="Z116" i="8"/>
  <c r="AA116" i="8"/>
  <c r="AC116" i="8"/>
  <c r="AH119" i="8" s="1"/>
  <c r="AD116" i="8"/>
  <c r="AI119" i="8" s="1"/>
  <c r="G108" i="8"/>
  <c r="H108" i="8"/>
  <c r="G103" i="8"/>
  <c r="K103" i="8"/>
  <c r="L103" i="8"/>
  <c r="N103" i="8"/>
  <c r="O103" i="8"/>
  <c r="P103" i="8"/>
  <c r="Q103" i="8"/>
  <c r="S103" i="8"/>
  <c r="T103" i="8"/>
  <c r="U103" i="8"/>
  <c r="V103" i="8"/>
  <c r="X103" i="8"/>
  <c r="Y103" i="8"/>
  <c r="Z103" i="8"/>
  <c r="AA103" i="8"/>
  <c r="AF106" i="8" s="1"/>
  <c r="AC103" i="8"/>
  <c r="AD103" i="8"/>
  <c r="AI106" i="8" s="1"/>
  <c r="G100" i="8"/>
  <c r="K100" i="8"/>
  <c r="L100" i="8"/>
  <c r="N100" i="8"/>
  <c r="O100" i="8"/>
  <c r="P100" i="8"/>
  <c r="Q100" i="8"/>
  <c r="S100" i="8"/>
  <c r="T100" i="8"/>
  <c r="U100" i="8"/>
  <c r="V100" i="8"/>
  <c r="X100" i="8"/>
  <c r="Y100" i="8"/>
  <c r="Z100" i="8"/>
  <c r="AA100" i="8"/>
  <c r="AC100" i="8"/>
  <c r="AD100" i="8"/>
  <c r="H96" i="8"/>
  <c r="K96" i="8"/>
  <c r="K97" i="8" s="1"/>
  <c r="M96" i="8"/>
  <c r="N96" i="8"/>
  <c r="O96" i="8"/>
  <c r="P96" i="8"/>
  <c r="R96" i="8"/>
  <c r="S96" i="8"/>
  <c r="T96" i="8"/>
  <c r="U96" i="8"/>
  <c r="V96" i="8"/>
  <c r="X96" i="8"/>
  <c r="Y96" i="8"/>
  <c r="Z96" i="8"/>
  <c r="AA96" i="8"/>
  <c r="AC96" i="8"/>
  <c r="AD96" i="8"/>
  <c r="AD93" i="8"/>
  <c r="AC93" i="8"/>
  <c r="AA93" i="8"/>
  <c r="Z93" i="8"/>
  <c r="Y93" i="8"/>
  <c r="X93" i="8"/>
  <c r="V93" i="8"/>
  <c r="U93" i="8"/>
  <c r="T93" i="8"/>
  <c r="S93" i="8"/>
  <c r="Q93" i="8"/>
  <c r="P93" i="8"/>
  <c r="O93" i="8"/>
  <c r="N93" i="8"/>
  <c r="L93" i="8"/>
  <c r="G90" i="8"/>
  <c r="J90" i="8"/>
  <c r="K82" i="8" s="1"/>
  <c r="K90" i="8"/>
  <c r="L82" i="8" s="1"/>
  <c r="L90" i="8"/>
  <c r="N90" i="8"/>
  <c r="O90" i="8"/>
  <c r="P90" i="8"/>
  <c r="Q90" i="8"/>
  <c r="S90" i="8"/>
  <c r="T90" i="8"/>
  <c r="U90" i="8"/>
  <c r="V90" i="8"/>
  <c r="X90" i="8"/>
  <c r="Y90" i="8"/>
  <c r="Z90" i="8"/>
  <c r="AA90" i="8"/>
  <c r="AC90" i="8"/>
  <c r="AD90" i="8"/>
  <c r="H86" i="8"/>
  <c r="H87" i="8" s="1"/>
  <c r="K86" i="8"/>
  <c r="M86" i="8"/>
  <c r="N86" i="8"/>
  <c r="O86" i="8"/>
  <c r="P86" i="8"/>
  <c r="R86" i="8"/>
  <c r="S86" i="8"/>
  <c r="T86" i="8"/>
  <c r="U86" i="8"/>
  <c r="V86" i="8"/>
  <c r="X86" i="8"/>
  <c r="Y86" i="8"/>
  <c r="Z86" i="8"/>
  <c r="AA86" i="8"/>
  <c r="AC86" i="8"/>
  <c r="AD86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M83" i="8"/>
  <c r="L83" i="8"/>
  <c r="H83" i="8"/>
  <c r="AD82" i="8"/>
  <c r="AC82" i="8"/>
  <c r="AA82" i="8"/>
  <c r="Z82" i="8"/>
  <c r="Y82" i="8"/>
  <c r="X82" i="8"/>
  <c r="V82" i="8"/>
  <c r="U82" i="8"/>
  <c r="T82" i="8"/>
  <c r="S82" i="8"/>
  <c r="Q82" i="8"/>
  <c r="P82" i="8"/>
  <c r="O82" i="8"/>
  <c r="N82" i="8"/>
  <c r="G74" i="8"/>
  <c r="H74" i="8"/>
  <c r="G69" i="8"/>
  <c r="L69" i="8"/>
  <c r="N69" i="8"/>
  <c r="O69" i="8"/>
  <c r="P69" i="8"/>
  <c r="Q69" i="8"/>
  <c r="S69" i="8"/>
  <c r="T69" i="8"/>
  <c r="U69" i="8"/>
  <c r="V69" i="8"/>
  <c r="X69" i="8"/>
  <c r="Y69" i="8"/>
  <c r="Z69" i="8"/>
  <c r="AA69" i="8"/>
  <c r="AF72" i="8" s="1"/>
  <c r="AC69" i="8"/>
  <c r="AD69" i="8"/>
  <c r="AI72" i="8" s="1"/>
  <c r="AD127" i="8"/>
  <c r="AC127" i="8"/>
  <c r="AA127" i="8"/>
  <c r="Z127" i="8"/>
  <c r="Y127" i="8"/>
  <c r="X127" i="8"/>
  <c r="V127" i="8"/>
  <c r="U127" i="8"/>
  <c r="T127" i="8"/>
  <c r="S127" i="8"/>
  <c r="Q127" i="8"/>
  <c r="P127" i="8"/>
  <c r="O127" i="8"/>
  <c r="N127" i="8"/>
  <c r="AD126" i="8"/>
  <c r="AC126" i="8"/>
  <c r="AA126" i="8"/>
  <c r="Z126" i="8"/>
  <c r="Y126" i="8"/>
  <c r="X126" i="8"/>
  <c r="V126" i="8"/>
  <c r="U126" i="8"/>
  <c r="T126" i="8"/>
  <c r="S126" i="8"/>
  <c r="Q126" i="8"/>
  <c r="L126" i="8"/>
  <c r="AD110" i="8"/>
  <c r="AI113" i="8" s="1"/>
  <c r="AC110" i="8"/>
  <c r="AH113" i="8" s="1"/>
  <c r="AB28" i="8"/>
  <c r="AB110" i="8" s="1"/>
  <c r="AA110" i="8"/>
  <c r="AF113" i="8" s="1"/>
  <c r="Z110" i="8"/>
  <c r="Y110" i="8"/>
  <c r="X110" i="8"/>
  <c r="W28" i="8"/>
  <c r="W110" i="8" s="1"/>
  <c r="V110" i="8"/>
  <c r="U110" i="8"/>
  <c r="T110" i="8"/>
  <c r="S110" i="8"/>
  <c r="R28" i="8"/>
  <c r="R110" i="8" s="1"/>
  <c r="Q110" i="8"/>
  <c r="P110" i="8"/>
  <c r="O110" i="8"/>
  <c r="N110" i="8"/>
  <c r="M28" i="8"/>
  <c r="M110" i="8" s="1"/>
  <c r="L110" i="8"/>
  <c r="H28" i="8"/>
  <c r="H110" i="8" s="1"/>
  <c r="G110" i="8"/>
  <c r="AC59" i="8"/>
  <c r="AA59" i="8"/>
  <c r="Z59" i="8"/>
  <c r="Z53" i="8" s="1"/>
  <c r="Z108" i="8" s="1"/>
  <c r="Y59" i="8"/>
  <c r="X59" i="8"/>
  <c r="X53" i="8" s="1"/>
  <c r="X108" i="8" s="1"/>
  <c r="V59" i="8"/>
  <c r="U59" i="8"/>
  <c r="T59" i="8"/>
  <c r="T53" i="8" s="1"/>
  <c r="T108" i="8" s="1"/>
  <c r="S59" i="8"/>
  <c r="Q59" i="8"/>
  <c r="Q53" i="8" s="1"/>
  <c r="Q108" i="8" s="1"/>
  <c r="P59" i="8"/>
  <c r="O59" i="8"/>
  <c r="N59" i="8"/>
  <c r="L59" i="8"/>
  <c r="L53" i="8" s="1"/>
  <c r="L108" i="8" s="1"/>
  <c r="G59" i="8"/>
  <c r="M10" i="8"/>
  <c r="M76" i="8" s="1"/>
  <c r="N76" i="8"/>
  <c r="O76" i="8"/>
  <c r="P76" i="8"/>
  <c r="Q76" i="8"/>
  <c r="R10" i="8"/>
  <c r="R76" i="8" s="1"/>
  <c r="S76" i="8"/>
  <c r="T76" i="8"/>
  <c r="U76" i="8"/>
  <c r="V76" i="8"/>
  <c r="W10" i="8"/>
  <c r="W76" i="8" s="1"/>
  <c r="X76" i="8"/>
  <c r="Y76" i="8"/>
  <c r="Z76" i="8"/>
  <c r="AA76" i="8"/>
  <c r="AB10" i="8"/>
  <c r="AB76" i="8" s="1"/>
  <c r="AC76" i="8"/>
  <c r="AH79" i="8" s="1"/>
  <c r="AD76" i="8"/>
  <c r="AI79" i="8" s="1"/>
  <c r="L76" i="8"/>
  <c r="H10" i="8"/>
  <c r="H76" i="8" s="1"/>
  <c r="G76" i="8"/>
  <c r="G58" i="8"/>
  <c r="F58" i="8"/>
  <c r="E58" i="8"/>
  <c r="D58" i="8"/>
  <c r="H29" i="8"/>
  <c r="H18" i="16" s="1"/>
  <c r="H27" i="8"/>
  <c r="H9" i="8"/>
  <c r="H69" i="8" s="1"/>
  <c r="H43" i="8"/>
  <c r="H7" i="8"/>
  <c r="H8" i="8"/>
  <c r="H14" i="8"/>
  <c r="H30" i="8"/>
  <c r="H37" i="8"/>
  <c r="H35" i="8"/>
  <c r="H123" i="8" s="1"/>
  <c r="H36" i="8"/>
  <c r="H39" i="8"/>
  <c r="H15" i="8"/>
  <c r="M82" i="8" s="1"/>
  <c r="H17" i="8"/>
  <c r="H20" i="8"/>
  <c r="H21" i="8"/>
  <c r="H18" i="8"/>
  <c r="H100" i="8" s="1"/>
  <c r="H19" i="8"/>
  <c r="G61" i="8"/>
  <c r="G47" i="8" s="1"/>
  <c r="G48" i="8"/>
  <c r="G45" i="8"/>
  <c r="G23" i="8"/>
  <c r="F61" i="8"/>
  <c r="F51" i="8" s="1"/>
  <c r="E61" i="8"/>
  <c r="E47" i="8" s="1"/>
  <c r="D61" i="8"/>
  <c r="D47" i="8" s="1"/>
  <c r="F59" i="8"/>
  <c r="E59" i="8"/>
  <c r="D59" i="8"/>
  <c r="F48" i="8"/>
  <c r="E48" i="8"/>
  <c r="D48" i="8"/>
  <c r="F45" i="8"/>
  <c r="E45" i="8"/>
  <c r="D45" i="8"/>
  <c r="F23" i="8"/>
  <c r="E23" i="8"/>
  <c r="D23" i="8"/>
  <c r="E21" i="6"/>
  <c r="F21" i="6"/>
  <c r="G21" i="6"/>
  <c r="I21" i="6"/>
  <c r="J21" i="6"/>
  <c r="K21" i="6"/>
  <c r="L21" i="6"/>
  <c r="N21" i="6"/>
  <c r="O21" i="6"/>
  <c r="P21" i="6"/>
  <c r="Q21" i="6"/>
  <c r="S21" i="6"/>
  <c r="T21" i="6"/>
  <c r="U21" i="6"/>
  <c r="V21" i="6"/>
  <c r="X21" i="6"/>
  <c r="Y21" i="6"/>
  <c r="Z21" i="6"/>
  <c r="D21" i="6"/>
  <c r="AG17" i="8"/>
  <c r="AE58" i="8"/>
  <c r="AL36" i="21"/>
  <c r="AL24" i="21"/>
  <c r="H36" i="21"/>
  <c r="M36" i="21"/>
  <c r="R36" i="21"/>
  <c r="W36" i="21"/>
  <c r="AD21" i="6"/>
  <c r="AH8" i="16"/>
  <c r="R29" i="8"/>
  <c r="R35" i="8"/>
  <c r="R123" i="8" s="1"/>
  <c r="W29" i="8"/>
  <c r="W35" i="8"/>
  <c r="W123" i="8" s="1"/>
  <c r="AB29" i="8"/>
  <c r="AB18" i="16" s="1"/>
  <c r="AG19" i="16" s="1"/>
  <c r="AB35" i="8"/>
  <c r="AB123" i="8" s="1"/>
  <c r="S9" i="16"/>
  <c r="T10" i="16" s="1"/>
  <c r="T9" i="16"/>
  <c r="U10" i="16" s="1"/>
  <c r="U9" i="16"/>
  <c r="V10" i="16" s="1"/>
  <c r="V9" i="16"/>
  <c r="X10" i="16" s="1"/>
  <c r="X9" i="16"/>
  <c r="Y10" i="16" s="1"/>
  <c r="Y9" i="16"/>
  <c r="Z10" i="16" s="1"/>
  <c r="Z9" i="16"/>
  <c r="AA10" i="16" s="1"/>
  <c r="AA9" i="16"/>
  <c r="AC10" i="16" s="1"/>
  <c r="AC9" i="16"/>
  <c r="AD10" i="16" s="1"/>
  <c r="AD9" i="16"/>
  <c r="AE10" i="16" s="1"/>
  <c r="AB36" i="8"/>
  <c r="W36" i="8"/>
  <c r="R36" i="8"/>
  <c r="M36" i="8"/>
  <c r="AL66" i="12"/>
  <c r="AB21" i="8"/>
  <c r="AB20" i="8"/>
  <c r="AB17" i="8"/>
  <c r="W21" i="8"/>
  <c r="W20" i="8"/>
  <c r="W17" i="8"/>
  <c r="R21" i="8"/>
  <c r="R20" i="8"/>
  <c r="R17" i="8"/>
  <c r="M21" i="8"/>
  <c r="M20" i="8"/>
  <c r="M17" i="8"/>
  <c r="AD16" i="12"/>
  <c r="AD14" i="12"/>
  <c r="AC45" i="8"/>
  <c r="AA45" i="8"/>
  <c r="Z45" i="8"/>
  <c r="Y45" i="8"/>
  <c r="X45" i="8"/>
  <c r="V45" i="8"/>
  <c r="U45" i="8"/>
  <c r="T45" i="8"/>
  <c r="S45" i="8"/>
  <c r="Q45" i="8"/>
  <c r="P45" i="8"/>
  <c r="O45" i="8"/>
  <c r="N45" i="8"/>
  <c r="L45" i="8"/>
  <c r="K45" i="8"/>
  <c r="J45" i="8"/>
  <c r="I45" i="8"/>
  <c r="AE30" i="8"/>
  <c r="AG14" i="8"/>
  <c r="AG8" i="8"/>
  <c r="AD23" i="8"/>
  <c r="AC23" i="8"/>
  <c r="AA23" i="8"/>
  <c r="Z23" i="8"/>
  <c r="Y23" i="8"/>
  <c r="X23" i="8"/>
  <c r="V23" i="8"/>
  <c r="U23" i="8"/>
  <c r="T23" i="8"/>
  <c r="S23" i="8"/>
  <c r="Q23" i="8"/>
  <c r="P23" i="8"/>
  <c r="O23" i="8"/>
  <c r="N23" i="8"/>
  <c r="L23" i="8"/>
  <c r="K23" i="8"/>
  <c r="J23" i="8"/>
  <c r="I23" i="8"/>
  <c r="V64" i="12"/>
  <c r="N64" i="12"/>
  <c r="AC80" i="16"/>
  <c r="AA80" i="16"/>
  <c r="Z80" i="16"/>
  <c r="Y80" i="16"/>
  <c r="X80" i="16"/>
  <c r="V80" i="16"/>
  <c r="U80" i="16"/>
  <c r="T80" i="16"/>
  <c r="S80" i="16"/>
  <c r="R80" i="16"/>
  <c r="P80" i="16"/>
  <c r="O80" i="16"/>
  <c r="N80" i="16"/>
  <c r="M80" i="16"/>
  <c r="K80" i="16"/>
  <c r="J80" i="16"/>
  <c r="I80" i="16"/>
  <c r="H80" i="16"/>
  <c r="F80" i="16"/>
  <c r="E80" i="16"/>
  <c r="D80" i="16"/>
  <c r="AD80" i="16"/>
  <c r="J51" i="16"/>
  <c r="K51" i="16"/>
  <c r="L51" i="16"/>
  <c r="M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Z51" i="16"/>
  <c r="AA51" i="16"/>
  <c r="I51" i="16"/>
  <c r="AB40" i="16"/>
  <c r="AB39" i="16"/>
  <c r="AG40" i="16"/>
  <c r="AG39" i="16"/>
  <c r="F9" i="16"/>
  <c r="G10" i="16" s="1"/>
  <c r="D9" i="16"/>
  <c r="E10" i="16" s="1"/>
  <c r="D10" i="16"/>
  <c r="E9" i="16"/>
  <c r="F10" i="16" s="1"/>
  <c r="K9" i="16"/>
  <c r="L10" i="16" s="1"/>
  <c r="J9" i="16"/>
  <c r="K10" i="16" s="1"/>
  <c r="I9" i="16"/>
  <c r="J10" i="16" s="1"/>
  <c r="L8" i="16"/>
  <c r="K8" i="16"/>
  <c r="J8" i="16"/>
  <c r="I8" i="16"/>
  <c r="G8" i="16"/>
  <c r="F8" i="16"/>
  <c r="E8" i="16"/>
  <c r="D8" i="16"/>
  <c r="M17" i="19"/>
  <c r="R17" i="19"/>
  <c r="W17" i="19"/>
  <c r="AI34" i="19"/>
  <c r="AD34" i="19"/>
  <c r="AC34" i="19"/>
  <c r="AC8" i="19" s="1"/>
  <c r="AA34" i="19"/>
  <c r="Z34" i="19"/>
  <c r="Z8" i="19" s="1"/>
  <c r="Y34" i="19"/>
  <c r="Y9" i="19" s="1"/>
  <c r="X34" i="19"/>
  <c r="V34" i="19"/>
  <c r="U34" i="19"/>
  <c r="U8" i="19" s="1"/>
  <c r="T34" i="19"/>
  <c r="S34" i="19"/>
  <c r="S9" i="19" s="1"/>
  <c r="Q34" i="19"/>
  <c r="P34" i="19"/>
  <c r="P8" i="19" s="1"/>
  <c r="O34" i="19"/>
  <c r="O8" i="19" s="1"/>
  <c r="N34" i="19"/>
  <c r="N9" i="19" s="1"/>
  <c r="L34" i="19"/>
  <c r="K34" i="19"/>
  <c r="K8" i="19" s="1"/>
  <c r="J34" i="19"/>
  <c r="J9" i="19" s="1"/>
  <c r="I34" i="19"/>
  <c r="I9" i="19" s="1"/>
  <c r="G34" i="19"/>
  <c r="F34" i="19"/>
  <c r="E34" i="19"/>
  <c r="E9" i="19" s="1"/>
  <c r="D34" i="19"/>
  <c r="D8" i="19" s="1"/>
  <c r="K17" i="19"/>
  <c r="AJ17" i="19"/>
  <c r="AD17" i="19"/>
  <c r="Z17" i="19"/>
  <c r="U17" i="19"/>
  <c r="T17" i="19"/>
  <c r="D17" i="19"/>
  <c r="H69" i="5"/>
  <c r="M69" i="5"/>
  <c r="R69" i="5"/>
  <c r="W69" i="5"/>
  <c r="M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H65" i="12"/>
  <c r="AD56" i="12"/>
  <c r="AD48" i="12"/>
  <c r="AD47" i="12"/>
  <c r="AD66" i="12" s="1"/>
  <c r="AD46" i="12"/>
  <c r="AD45" i="12"/>
  <c r="AD44" i="12"/>
  <c r="AD43" i="12"/>
  <c r="AD42" i="12"/>
  <c r="AE42" i="12" s="1"/>
  <c r="AD41" i="12"/>
  <c r="AD36" i="12"/>
  <c r="AD35" i="12"/>
  <c r="AD34" i="12"/>
  <c r="AD33" i="12"/>
  <c r="AD32" i="12"/>
  <c r="AD31" i="12"/>
  <c r="AD30" i="12"/>
  <c r="AD25" i="12"/>
  <c r="AD24" i="12"/>
  <c r="AD23" i="12"/>
  <c r="AD20" i="12"/>
  <c r="AD19" i="12"/>
  <c r="AD17" i="12"/>
  <c r="AD15" i="12"/>
  <c r="AD12" i="12"/>
  <c r="AD13" i="12"/>
  <c r="AD11" i="12"/>
  <c r="AD10" i="12"/>
  <c r="AD9" i="12"/>
  <c r="AD8" i="12"/>
  <c r="AE8" i="12" s="1"/>
  <c r="AE81" i="16" s="1"/>
  <c r="AD7" i="12"/>
  <c r="AI77" i="12"/>
  <c r="AN78" i="12" s="1"/>
  <c r="AK54" i="12"/>
  <c r="AK58" i="12" s="1"/>
  <c r="AJ54" i="12"/>
  <c r="AJ58" i="12" s="1"/>
  <c r="AI54" i="12"/>
  <c r="AI58" i="12" s="1"/>
  <c r="AH54" i="12"/>
  <c r="AH58" i="12" s="1"/>
  <c r="J17" i="19"/>
  <c r="AI17" i="19"/>
  <c r="E17" i="19"/>
  <c r="F17" i="19"/>
  <c r="AH17" i="19"/>
  <c r="AB17" i="19"/>
  <c r="I17" i="19"/>
  <c r="O17" i="19"/>
  <c r="N17" i="19"/>
  <c r="Y17" i="19"/>
  <c r="H17" i="19"/>
  <c r="AI58" i="8"/>
  <c r="E77" i="12"/>
  <c r="F77" i="12"/>
  <c r="G77" i="12"/>
  <c r="I77" i="12"/>
  <c r="J77" i="12"/>
  <c r="K77" i="12"/>
  <c r="L77" i="12"/>
  <c r="N77" i="12"/>
  <c r="O77" i="12"/>
  <c r="P77" i="12"/>
  <c r="Q77" i="12"/>
  <c r="S77" i="12"/>
  <c r="T77" i="12"/>
  <c r="U77" i="12"/>
  <c r="V77" i="12"/>
  <c r="X77" i="12"/>
  <c r="Y77" i="12"/>
  <c r="Z77" i="12"/>
  <c r="AA77" i="12"/>
  <c r="AC77" i="12"/>
  <c r="AD77" i="12"/>
  <c r="D77" i="12"/>
  <c r="K81" i="16"/>
  <c r="J81" i="16"/>
  <c r="I81" i="16"/>
  <c r="F81" i="16"/>
  <c r="E81" i="16"/>
  <c r="D81" i="16"/>
  <c r="E90" i="16"/>
  <c r="F90" i="16"/>
  <c r="G90" i="16"/>
  <c r="I90" i="16"/>
  <c r="J90" i="16"/>
  <c r="K90" i="16"/>
  <c r="L90" i="16"/>
  <c r="N90" i="16"/>
  <c r="O90" i="16"/>
  <c r="P90" i="16"/>
  <c r="Q90" i="16"/>
  <c r="S90" i="16"/>
  <c r="T90" i="16"/>
  <c r="U90" i="16"/>
  <c r="V90" i="16"/>
  <c r="X90" i="16"/>
  <c r="Y90" i="16"/>
  <c r="Z90" i="16"/>
  <c r="AA90" i="16"/>
  <c r="AC90" i="16"/>
  <c r="AD90" i="16"/>
  <c r="AE90" i="16"/>
  <c r="D90" i="16"/>
  <c r="E83" i="16"/>
  <c r="F83" i="16"/>
  <c r="G83" i="16"/>
  <c r="I83" i="16"/>
  <c r="J83" i="16"/>
  <c r="K83" i="16"/>
  <c r="L83" i="16"/>
  <c r="N83" i="16"/>
  <c r="O83" i="16"/>
  <c r="P83" i="16"/>
  <c r="Q83" i="16"/>
  <c r="S83" i="16"/>
  <c r="T83" i="16"/>
  <c r="U83" i="16"/>
  <c r="V83" i="16"/>
  <c r="X83" i="16"/>
  <c r="Y83" i="16"/>
  <c r="Z83" i="16"/>
  <c r="AA83" i="16"/>
  <c r="AC83" i="16"/>
  <c r="AD83" i="16"/>
  <c r="AE83" i="16"/>
  <c r="D83" i="16"/>
  <c r="AB45" i="5"/>
  <c r="AB46" i="5"/>
  <c r="W45" i="5"/>
  <c r="W83" i="16" s="1"/>
  <c r="W46" i="5"/>
  <c r="R45" i="5"/>
  <c r="R46" i="5"/>
  <c r="M45" i="5"/>
  <c r="M46" i="5"/>
  <c r="H45" i="5"/>
  <c r="H83" i="16" s="1"/>
  <c r="H46" i="5"/>
  <c r="E64" i="16"/>
  <c r="F64" i="16"/>
  <c r="I64" i="16"/>
  <c r="J64" i="16"/>
  <c r="K64" i="16"/>
  <c r="D64" i="16"/>
  <c r="E89" i="16"/>
  <c r="F89" i="16"/>
  <c r="I89" i="16"/>
  <c r="J89" i="16"/>
  <c r="K89" i="16"/>
  <c r="D89" i="16"/>
  <c r="O77" i="16"/>
  <c r="P77" i="16"/>
  <c r="Q77" i="16"/>
  <c r="R77" i="16"/>
  <c r="S77" i="16"/>
  <c r="T77" i="16"/>
  <c r="U77" i="16"/>
  <c r="V77" i="16"/>
  <c r="W77" i="16"/>
  <c r="X77" i="16"/>
  <c r="Y77" i="16"/>
  <c r="Z77" i="16"/>
  <c r="AA77" i="16"/>
  <c r="AB77" i="16"/>
  <c r="AC77" i="16"/>
  <c r="N77" i="16"/>
  <c r="M77" i="16"/>
  <c r="L77" i="16" s="1"/>
  <c r="N113" i="16"/>
  <c r="N89" i="16" s="1"/>
  <c r="O113" i="16"/>
  <c r="P113" i="16"/>
  <c r="P114" i="16" s="1"/>
  <c r="Q113" i="16"/>
  <c r="Q89" i="16" s="1"/>
  <c r="R113" i="16"/>
  <c r="R89" i="16" s="1"/>
  <c r="S113" i="16"/>
  <c r="T113" i="16"/>
  <c r="U113" i="16"/>
  <c r="U89" i="16" s="1"/>
  <c r="V113" i="16"/>
  <c r="W113" i="16"/>
  <c r="X113" i="16"/>
  <c r="X89" i="16" s="1"/>
  <c r="Y113" i="16"/>
  <c r="Y89" i="16" s="1"/>
  <c r="Z113" i="16"/>
  <c r="AA113" i="16"/>
  <c r="AB113" i="16"/>
  <c r="AC113" i="16"/>
  <c r="AH114" i="16" s="1"/>
  <c r="M113" i="16"/>
  <c r="L113" i="16" s="1"/>
  <c r="L89" i="16" s="1"/>
  <c r="H113" i="16"/>
  <c r="G113" i="16" s="1"/>
  <c r="AD110" i="16"/>
  <c r="AC110" i="16"/>
  <c r="AA110" i="16"/>
  <c r="Z110" i="16"/>
  <c r="Y110" i="16"/>
  <c r="X110" i="16"/>
  <c r="V110" i="16"/>
  <c r="U110" i="16"/>
  <c r="T110" i="16"/>
  <c r="S110" i="16"/>
  <c r="Q110" i="16"/>
  <c r="P110" i="16"/>
  <c r="O110" i="16"/>
  <c r="N110" i="16"/>
  <c r="L110" i="16"/>
  <c r="K110" i="16"/>
  <c r="J110" i="16"/>
  <c r="I110" i="16"/>
  <c r="G110" i="16"/>
  <c r="F110" i="16"/>
  <c r="E110" i="16"/>
  <c r="D110" i="16"/>
  <c r="AD107" i="16"/>
  <c r="AI108" i="16" s="1"/>
  <c r="AC107" i="16"/>
  <c r="AH108" i="16" s="1"/>
  <c r="AA107" i="16"/>
  <c r="AF108" i="16" s="1"/>
  <c r="Z107" i="16"/>
  <c r="Y107" i="16"/>
  <c r="X107" i="16"/>
  <c r="V107" i="16"/>
  <c r="U107" i="16"/>
  <c r="T107" i="16"/>
  <c r="S107" i="16"/>
  <c r="Q107" i="16"/>
  <c r="P107" i="16"/>
  <c r="O107" i="16"/>
  <c r="N107" i="16"/>
  <c r="L107" i="16"/>
  <c r="K107" i="16"/>
  <c r="J107" i="16"/>
  <c r="J116" i="16" s="1"/>
  <c r="I107" i="16"/>
  <c r="G107" i="16"/>
  <c r="F107" i="16"/>
  <c r="F116" i="16" s="1"/>
  <c r="E107" i="16"/>
  <c r="E116" i="16" s="1"/>
  <c r="D107" i="16"/>
  <c r="AB68" i="16"/>
  <c r="H68" i="16"/>
  <c r="M68" i="16"/>
  <c r="W68" i="16"/>
  <c r="E67" i="16"/>
  <c r="E70" i="16" s="1"/>
  <c r="E85" i="16" s="1"/>
  <c r="F67" i="16"/>
  <c r="F70" i="16" s="1"/>
  <c r="F85" i="16" s="1"/>
  <c r="G67" i="16"/>
  <c r="G70" i="16" s="1"/>
  <c r="G85" i="16" s="1"/>
  <c r="I67" i="16"/>
  <c r="I70" i="16" s="1"/>
  <c r="I85" i="16" s="1"/>
  <c r="J67" i="16"/>
  <c r="J70" i="16" s="1"/>
  <c r="J85" i="16" s="1"/>
  <c r="K67" i="16"/>
  <c r="K70" i="16" s="1"/>
  <c r="K85" i="16" s="1"/>
  <c r="L67" i="16"/>
  <c r="L70" i="16" s="1"/>
  <c r="L85" i="16" s="1"/>
  <c r="N67" i="16"/>
  <c r="N70" i="16" s="1"/>
  <c r="N85" i="16" s="1"/>
  <c r="O67" i="16"/>
  <c r="O70" i="16" s="1"/>
  <c r="O85" i="16" s="1"/>
  <c r="P67" i="16"/>
  <c r="P70" i="16" s="1"/>
  <c r="P85" i="16" s="1"/>
  <c r="Q67" i="16"/>
  <c r="S67" i="16"/>
  <c r="S70" i="16" s="1"/>
  <c r="S85" i="16" s="1"/>
  <c r="T67" i="16"/>
  <c r="T70" i="16" s="1"/>
  <c r="T85" i="16" s="1"/>
  <c r="U67" i="16"/>
  <c r="U70" i="16" s="1"/>
  <c r="U85" i="16" s="1"/>
  <c r="V67" i="16"/>
  <c r="V70" i="16" s="1"/>
  <c r="V85" i="16" s="1"/>
  <c r="X67" i="16"/>
  <c r="X70" i="16" s="1"/>
  <c r="X85" i="16" s="1"/>
  <c r="Y67" i="16"/>
  <c r="Y70" i="16" s="1"/>
  <c r="Y85" i="16" s="1"/>
  <c r="Z67" i="16"/>
  <c r="Z70" i="16" s="1"/>
  <c r="Z85" i="16" s="1"/>
  <c r="AA67" i="16"/>
  <c r="AA70" i="16" s="1"/>
  <c r="AA85" i="16" s="1"/>
  <c r="AC67" i="16"/>
  <c r="AC70" i="16" s="1"/>
  <c r="AC85" i="16" s="1"/>
  <c r="D67" i="16"/>
  <c r="D70" i="16" s="1"/>
  <c r="D85" i="16" s="1"/>
  <c r="H77" i="16"/>
  <c r="G77" i="16" s="1"/>
  <c r="AC47" i="16"/>
  <c r="AC51" i="16" s="1"/>
  <c r="AD47" i="16"/>
  <c r="AD51" i="16" s="1"/>
  <c r="AC45" i="16"/>
  <c r="AD45" i="16"/>
  <c r="X36" i="16"/>
  <c r="Y36" i="16"/>
  <c r="Z36" i="16"/>
  <c r="AA36" i="16"/>
  <c r="AC36" i="16"/>
  <c r="AD36" i="16"/>
  <c r="E100" i="16"/>
  <c r="F100" i="16"/>
  <c r="G100" i="16"/>
  <c r="I100" i="16"/>
  <c r="J100" i="16"/>
  <c r="K100" i="16"/>
  <c r="L100" i="16"/>
  <c r="N100" i="16"/>
  <c r="O100" i="16"/>
  <c r="P100" i="16"/>
  <c r="Q100" i="16"/>
  <c r="S100" i="16"/>
  <c r="T100" i="16"/>
  <c r="U100" i="16"/>
  <c r="V100" i="16"/>
  <c r="X100" i="16"/>
  <c r="Y100" i="16"/>
  <c r="Z100" i="16"/>
  <c r="AA100" i="16"/>
  <c r="AC100" i="16"/>
  <c r="AD100" i="16"/>
  <c r="D100" i="16"/>
  <c r="AG59" i="16"/>
  <c r="AC60" i="16"/>
  <c r="AB60" i="16"/>
  <c r="AA60" i="16"/>
  <c r="Z60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AL60" i="16"/>
  <c r="AK60" i="16"/>
  <c r="AJ60" i="16"/>
  <c r="AI60" i="16"/>
  <c r="AH60" i="16"/>
  <c r="AG60" i="16"/>
  <c r="AF60" i="16"/>
  <c r="AE60" i="16"/>
  <c r="AD60" i="16"/>
  <c r="AD53" i="5"/>
  <c r="AD31" i="5"/>
  <c r="AD32" i="5" s="1"/>
  <c r="AD26" i="5"/>
  <c r="AD27" i="5" s="1"/>
  <c r="AD21" i="5"/>
  <c r="AD14" i="5"/>
  <c r="AD16" i="5" s="1"/>
  <c r="AE34" i="19"/>
  <c r="AE9" i="19" s="1"/>
  <c r="AE77" i="12"/>
  <c r="AE36" i="16"/>
  <c r="AE100" i="16"/>
  <c r="AI36" i="16"/>
  <c r="AI100" i="16"/>
  <c r="R190" i="5"/>
  <c r="W190" i="5"/>
  <c r="AB190" i="5"/>
  <c r="AL190" i="5"/>
  <c r="AG190" i="5"/>
  <c r="AL134" i="5"/>
  <c r="AG134" i="5"/>
  <c r="R134" i="5"/>
  <c r="W134" i="5"/>
  <c r="AB134" i="5"/>
  <c r="R84" i="5"/>
  <c r="W84" i="5"/>
  <c r="AL84" i="5"/>
  <c r="AG84" i="5"/>
  <c r="AB84" i="5"/>
  <c r="X191" i="5"/>
  <c r="W191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AL191" i="5"/>
  <c r="AK191" i="5"/>
  <c r="AJ191" i="5"/>
  <c r="AI191" i="5"/>
  <c r="AH191" i="5"/>
  <c r="AG191" i="5"/>
  <c r="AF191" i="5"/>
  <c r="AE191" i="5"/>
  <c r="AD191" i="5"/>
  <c r="AC191" i="5"/>
  <c r="AB191" i="5"/>
  <c r="AA191" i="5"/>
  <c r="Z191" i="5"/>
  <c r="Y191" i="5"/>
  <c r="AD135" i="5"/>
  <c r="AC135" i="5"/>
  <c r="AB135" i="5"/>
  <c r="AA135" i="5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AL135" i="5"/>
  <c r="AK135" i="5"/>
  <c r="AJ135" i="5"/>
  <c r="AI135" i="5"/>
  <c r="AH135" i="5"/>
  <c r="AG135" i="5"/>
  <c r="AF135" i="5"/>
  <c r="AE135" i="5"/>
  <c r="AJ77" i="12"/>
  <c r="AJ100" i="16"/>
  <c r="AB69" i="5"/>
  <c r="G92" i="16"/>
  <c r="G79" i="16"/>
  <c r="G96" i="8" s="1"/>
  <c r="G97" i="8" s="1"/>
  <c r="G78" i="16"/>
  <c r="G86" i="8" s="1"/>
  <c r="G87" i="8" s="1"/>
  <c r="L92" i="16"/>
  <c r="L79" i="16"/>
  <c r="L96" i="8" s="1"/>
  <c r="L78" i="16"/>
  <c r="L86" i="8" s="1"/>
  <c r="Q92" i="16"/>
  <c r="Q79" i="16"/>
  <c r="Q96" i="8" s="1"/>
  <c r="Q78" i="16"/>
  <c r="Q86" i="8" s="1"/>
  <c r="G34" i="14"/>
  <c r="F34" i="14"/>
  <c r="F27" i="14" s="1"/>
  <c r="E34" i="14"/>
  <c r="D34" i="14"/>
  <c r="D27" i="14" s="1"/>
  <c r="F21" i="14"/>
  <c r="E21" i="14"/>
  <c r="F20" i="14"/>
  <c r="E20" i="14"/>
  <c r="H11" i="14"/>
  <c r="F11" i="14"/>
  <c r="E11" i="14"/>
  <c r="D11" i="14"/>
  <c r="G9" i="14"/>
  <c r="G8" i="14"/>
  <c r="M15" i="14"/>
  <c r="K15" i="14"/>
  <c r="J15" i="14"/>
  <c r="I15" i="14"/>
  <c r="M14" i="14"/>
  <c r="K14" i="14"/>
  <c r="J14" i="14"/>
  <c r="I14" i="14"/>
  <c r="R15" i="14"/>
  <c r="P15" i="14"/>
  <c r="O15" i="14"/>
  <c r="N15" i="14"/>
  <c r="R14" i="14"/>
  <c r="P14" i="14"/>
  <c r="O14" i="14"/>
  <c r="N14" i="14"/>
  <c r="L34" i="14"/>
  <c r="K34" i="14"/>
  <c r="J34" i="14"/>
  <c r="J26" i="14" s="1"/>
  <c r="I34" i="14"/>
  <c r="I26" i="14" s="1"/>
  <c r="K21" i="14"/>
  <c r="J21" i="14"/>
  <c r="K20" i="14"/>
  <c r="J20" i="14"/>
  <c r="M11" i="14"/>
  <c r="K11" i="14"/>
  <c r="J11" i="14"/>
  <c r="I11" i="14"/>
  <c r="L9" i="14"/>
  <c r="L21" i="14" s="1"/>
  <c r="L8" i="14"/>
  <c r="N20" i="14" s="1"/>
  <c r="Q9" i="14"/>
  <c r="S21" i="14" s="1"/>
  <c r="Q8" i="14"/>
  <c r="S20" i="14" s="1"/>
  <c r="AF9" i="14"/>
  <c r="AF8" i="14"/>
  <c r="AF20" i="14" s="1"/>
  <c r="AA9" i="14"/>
  <c r="AC21" i="14" s="1"/>
  <c r="AA8" i="14"/>
  <c r="AC20" i="14" s="1"/>
  <c r="H10" i="16"/>
  <c r="AB64" i="5"/>
  <c r="W64" i="5"/>
  <c r="R64" i="5"/>
  <c r="M64" i="5"/>
  <c r="H64" i="5"/>
  <c r="M54" i="12"/>
  <c r="M58" i="12" s="1"/>
  <c r="L54" i="12"/>
  <c r="L58" i="12" s="1"/>
  <c r="K54" i="12"/>
  <c r="K58" i="12" s="1"/>
  <c r="J54" i="12"/>
  <c r="J58" i="12" s="1"/>
  <c r="I54" i="12"/>
  <c r="I58" i="12" s="1"/>
  <c r="H54" i="12"/>
  <c r="H58" i="12" s="1"/>
  <c r="G54" i="12"/>
  <c r="G58" i="12" s="1"/>
  <c r="F54" i="12"/>
  <c r="F58" i="12" s="1"/>
  <c r="E54" i="12"/>
  <c r="E58" i="12" s="1"/>
  <c r="D54" i="12"/>
  <c r="D58" i="12" s="1"/>
  <c r="I48" i="8"/>
  <c r="J48" i="8"/>
  <c r="K48" i="8"/>
  <c r="L48" i="8"/>
  <c r="M7" i="8"/>
  <c r="M8" i="8"/>
  <c r="M9" i="8"/>
  <c r="M69" i="8" s="1"/>
  <c r="L61" i="8"/>
  <c r="L47" i="8" s="1"/>
  <c r="K61" i="8"/>
  <c r="K47" i="8" s="1"/>
  <c r="J61" i="8"/>
  <c r="I61" i="8"/>
  <c r="I47" i="8" s="1"/>
  <c r="K59" i="8"/>
  <c r="J59" i="8"/>
  <c r="I59" i="8"/>
  <c r="L58" i="8"/>
  <c r="K58" i="8"/>
  <c r="J58" i="8"/>
  <c r="I58" i="8"/>
  <c r="I85" i="8" s="1"/>
  <c r="M43" i="8"/>
  <c r="M37" i="8"/>
  <c r="M39" i="8"/>
  <c r="M35" i="8"/>
  <c r="M123" i="8" s="1"/>
  <c r="M30" i="8"/>
  <c r="M29" i="8"/>
  <c r="M18" i="16" s="1"/>
  <c r="M27" i="8"/>
  <c r="M19" i="8"/>
  <c r="M18" i="8"/>
  <c r="M100" i="8" s="1"/>
  <c r="M15" i="8"/>
  <c r="R82" i="8" s="1"/>
  <c r="M14" i="8"/>
  <c r="AF47" i="16"/>
  <c r="AE120" i="8"/>
  <c r="Y120" i="8"/>
  <c r="T120" i="8"/>
  <c r="P42" i="16"/>
  <c r="O42" i="16"/>
  <c r="N42" i="16"/>
  <c r="L120" i="8"/>
  <c r="L42" i="16"/>
  <c r="K42" i="16"/>
  <c r="J42" i="16"/>
  <c r="I42" i="16"/>
  <c r="U42" i="16"/>
  <c r="U120" i="8"/>
  <c r="Q42" i="16"/>
  <c r="Q120" i="8"/>
  <c r="V42" i="16"/>
  <c r="V120" i="8"/>
  <c r="AA38" i="16"/>
  <c r="AA42" i="16" s="1"/>
  <c r="AA120" i="8"/>
  <c r="S42" i="16"/>
  <c r="S120" i="8"/>
  <c r="X38" i="16"/>
  <c r="X42" i="16" s="1"/>
  <c r="X120" i="8"/>
  <c r="AC38" i="16"/>
  <c r="AC42" i="16" s="1"/>
  <c r="AC120" i="8"/>
  <c r="T42" i="16"/>
  <c r="Y38" i="16"/>
  <c r="Y42" i="16" s="1"/>
  <c r="Z38" i="16"/>
  <c r="Z42" i="16" s="1"/>
  <c r="Z120" i="8"/>
  <c r="AE38" i="16"/>
  <c r="AE42" i="16" s="1"/>
  <c r="AB62" i="5"/>
  <c r="AB61" i="8" s="1"/>
  <c r="W62" i="5"/>
  <c r="W61" i="8" s="1"/>
  <c r="R62" i="5"/>
  <c r="M62" i="5"/>
  <c r="M110" i="16" s="1"/>
  <c r="H62" i="5"/>
  <c r="H9" i="5"/>
  <c r="M9" i="5"/>
  <c r="M69" i="19" s="1"/>
  <c r="R9" i="5"/>
  <c r="R8" i="16" s="1"/>
  <c r="W9" i="5"/>
  <c r="W69" i="19" s="1"/>
  <c r="D190" i="5"/>
  <c r="D134" i="5"/>
  <c r="H85" i="5"/>
  <c r="G85" i="5"/>
  <c r="F85" i="5"/>
  <c r="E85" i="5"/>
  <c r="D85" i="5"/>
  <c r="D84" i="5"/>
  <c r="H53" i="5"/>
  <c r="H47" i="5"/>
  <c r="G37" i="5"/>
  <c r="G60" i="8" s="1"/>
  <c r="F37" i="5"/>
  <c r="F60" i="8" s="1"/>
  <c r="H26" i="5"/>
  <c r="H21" i="5"/>
  <c r="I190" i="5"/>
  <c r="I134" i="5"/>
  <c r="M85" i="5"/>
  <c r="L85" i="5"/>
  <c r="K85" i="5"/>
  <c r="J85" i="5"/>
  <c r="I85" i="5"/>
  <c r="I84" i="5"/>
  <c r="M53" i="5"/>
  <c r="M47" i="5"/>
  <c r="L37" i="5"/>
  <c r="L60" i="8" s="1"/>
  <c r="K37" i="5"/>
  <c r="K60" i="8" s="1"/>
  <c r="I27" i="5"/>
  <c r="M21" i="5"/>
  <c r="F22" i="5"/>
  <c r="K32" i="5"/>
  <c r="F32" i="5"/>
  <c r="K16" i="5"/>
  <c r="K27" i="5"/>
  <c r="F27" i="5"/>
  <c r="K22" i="5"/>
  <c r="D16" i="5"/>
  <c r="D91" i="5" s="1"/>
  <c r="D22" i="5"/>
  <c r="D27" i="5"/>
  <c r="D32" i="5"/>
  <c r="E22" i="5"/>
  <c r="E27" i="5"/>
  <c r="E32" i="5"/>
  <c r="D37" i="5"/>
  <c r="D38" i="5" s="1"/>
  <c r="F16" i="5"/>
  <c r="F18" i="5" s="1"/>
  <c r="E37" i="5"/>
  <c r="G16" i="5"/>
  <c r="G18" i="5" s="1"/>
  <c r="G22" i="5"/>
  <c r="G27" i="5"/>
  <c r="H31" i="5"/>
  <c r="G32" i="5"/>
  <c r="J16" i="5"/>
  <c r="I16" i="5"/>
  <c r="I18" i="5" s="1"/>
  <c r="I22" i="5"/>
  <c r="I32" i="5"/>
  <c r="J22" i="5"/>
  <c r="J27" i="5"/>
  <c r="J32" i="5"/>
  <c r="I37" i="5"/>
  <c r="J37" i="5"/>
  <c r="J38" i="5" s="1"/>
  <c r="L16" i="5"/>
  <c r="L22" i="5"/>
  <c r="M26" i="5"/>
  <c r="L27" i="5"/>
  <c r="M31" i="5"/>
  <c r="L32" i="5"/>
  <c r="R42" i="16"/>
  <c r="M42" i="16"/>
  <c r="W42" i="16"/>
  <c r="E16" i="5"/>
  <c r="H14" i="5"/>
  <c r="H59" i="8" s="1"/>
  <c r="M14" i="5"/>
  <c r="O9" i="16"/>
  <c r="P10" i="16" s="1"/>
  <c r="P9" i="16"/>
  <c r="Q10" i="16" s="1"/>
  <c r="Q9" i="16"/>
  <c r="S10" i="16" s="1"/>
  <c r="N9" i="16"/>
  <c r="O10" i="16" s="1"/>
  <c r="S54" i="12"/>
  <c r="S58" i="12" s="1"/>
  <c r="AB37" i="8"/>
  <c r="AB39" i="8"/>
  <c r="W37" i="8"/>
  <c r="W39" i="8"/>
  <c r="AB30" i="8"/>
  <c r="AB27" i="8"/>
  <c r="W30" i="8"/>
  <c r="W27" i="8"/>
  <c r="AB19" i="8"/>
  <c r="AB18" i="8"/>
  <c r="AB15" i="8"/>
  <c r="AG82" i="8" s="1"/>
  <c r="AB14" i="8"/>
  <c r="W19" i="8"/>
  <c r="W18" i="8"/>
  <c r="W100" i="8" s="1"/>
  <c r="W15" i="8"/>
  <c r="W90" i="8" s="1"/>
  <c r="W14" i="8"/>
  <c r="R15" i="8"/>
  <c r="W82" i="8" s="1"/>
  <c r="R37" i="8"/>
  <c r="R39" i="8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N85" i="5"/>
  <c r="W79" i="16"/>
  <c r="W96" i="8" s="1"/>
  <c r="W92" i="16"/>
  <c r="AB92" i="16"/>
  <c r="AB79" i="16"/>
  <c r="AB96" i="8" s="1"/>
  <c r="AB78" i="16"/>
  <c r="AB86" i="8" s="1"/>
  <c r="W78" i="16"/>
  <c r="P8" i="16"/>
  <c r="Q8" i="16"/>
  <c r="S8" i="16"/>
  <c r="T8" i="16"/>
  <c r="U8" i="16"/>
  <c r="V8" i="16"/>
  <c r="X8" i="16"/>
  <c r="Y8" i="16"/>
  <c r="Z8" i="16"/>
  <c r="AA8" i="16"/>
  <c r="AC8" i="16"/>
  <c r="AD8" i="16"/>
  <c r="AE8" i="16"/>
  <c r="P34" i="14"/>
  <c r="P27" i="14" s="1"/>
  <c r="Q34" i="14"/>
  <c r="S34" i="14"/>
  <c r="T34" i="14"/>
  <c r="U34" i="14"/>
  <c r="V34" i="14"/>
  <c r="X34" i="14"/>
  <c r="Y34" i="14"/>
  <c r="Y27" i="14" s="1"/>
  <c r="Z34" i="14"/>
  <c r="Z26" i="14" s="1"/>
  <c r="AA34" i="14"/>
  <c r="AC34" i="14"/>
  <c r="AD34" i="14"/>
  <c r="AD26" i="14" s="1"/>
  <c r="AE34" i="14"/>
  <c r="AE27" i="14" s="1"/>
  <c r="Y21" i="14"/>
  <c r="Y15" i="14"/>
  <c r="AE15" i="14"/>
  <c r="AE21" i="14"/>
  <c r="U21" i="14"/>
  <c r="U15" i="14"/>
  <c r="AD15" i="14"/>
  <c r="T21" i="14"/>
  <c r="AD21" i="14"/>
  <c r="AC15" i="14"/>
  <c r="Z21" i="14"/>
  <c r="Z15" i="14"/>
  <c r="X15" i="14"/>
  <c r="AE14" i="14"/>
  <c r="AD14" i="14"/>
  <c r="AC14" i="14"/>
  <c r="Z14" i="14"/>
  <c r="Y14" i="14"/>
  <c r="X14" i="14"/>
  <c r="U14" i="14"/>
  <c r="AE20" i="14"/>
  <c r="AD20" i="14"/>
  <c r="Z20" i="14"/>
  <c r="Y20" i="14"/>
  <c r="U20" i="14"/>
  <c r="T20" i="14"/>
  <c r="AD11" i="14"/>
  <c r="AC11" i="14"/>
  <c r="Z11" i="14"/>
  <c r="Y11" i="14"/>
  <c r="X11" i="14"/>
  <c r="U11" i="14"/>
  <c r="T11" i="14"/>
  <c r="S11" i="14"/>
  <c r="P11" i="14"/>
  <c r="AB11" i="14"/>
  <c r="AG92" i="16"/>
  <c r="AI8" i="16"/>
  <c r="AI34" i="14"/>
  <c r="AJ8" i="16"/>
  <c r="AJ34" i="14"/>
  <c r="AG15" i="14"/>
  <c r="AL92" i="16"/>
  <c r="AG11" i="14"/>
  <c r="AG14" i="14"/>
  <c r="Y54" i="12"/>
  <c r="Y58" i="12" s="1"/>
  <c r="Z54" i="12"/>
  <c r="Z58" i="12" s="1"/>
  <c r="AC54" i="12"/>
  <c r="AC58" i="12" s="1"/>
  <c r="AB54" i="12"/>
  <c r="AB58" i="12" s="1"/>
  <c r="X54" i="12"/>
  <c r="X58" i="12" s="1"/>
  <c r="W54" i="12"/>
  <c r="W58" i="12" s="1"/>
  <c r="T54" i="12"/>
  <c r="T58" i="12" s="1"/>
  <c r="R54" i="12"/>
  <c r="R58" i="12" s="1"/>
  <c r="Q54" i="12"/>
  <c r="Q58" i="12" s="1"/>
  <c r="P54" i="12"/>
  <c r="P58" i="12" s="1"/>
  <c r="O54" i="12"/>
  <c r="O58" i="12" s="1"/>
  <c r="N54" i="12"/>
  <c r="N58" i="12" s="1"/>
  <c r="AA54" i="12"/>
  <c r="AA58" i="12" s="1"/>
  <c r="U54" i="12"/>
  <c r="U58" i="12" s="1"/>
  <c r="V54" i="12"/>
  <c r="V58" i="12" s="1"/>
  <c r="AB8" i="8"/>
  <c r="W8" i="8"/>
  <c r="R8" i="8"/>
  <c r="O61" i="8"/>
  <c r="O47" i="8" s="1"/>
  <c r="P61" i="8"/>
  <c r="Q61" i="8"/>
  <c r="S61" i="8"/>
  <c r="S47" i="8" s="1"/>
  <c r="T61" i="8"/>
  <c r="T47" i="8" s="1"/>
  <c r="U61" i="8"/>
  <c r="U47" i="8" s="1"/>
  <c r="V61" i="8"/>
  <c r="V47" i="8" s="1"/>
  <c r="X61" i="8"/>
  <c r="X47" i="8" s="1"/>
  <c r="Y61" i="8"/>
  <c r="Y47" i="8" s="1"/>
  <c r="Z61" i="8"/>
  <c r="Z47" i="8" s="1"/>
  <c r="AA61" i="8"/>
  <c r="AA47" i="8" s="1"/>
  <c r="AC61" i="8"/>
  <c r="AC47" i="8" s="1"/>
  <c r="AD61" i="8"/>
  <c r="AD47" i="8" s="1"/>
  <c r="AE61" i="8"/>
  <c r="AE47" i="8" s="1"/>
  <c r="N61" i="8"/>
  <c r="N47" i="8" s="1"/>
  <c r="P58" i="8"/>
  <c r="Q58" i="8"/>
  <c r="S58" i="8"/>
  <c r="T58" i="8"/>
  <c r="U58" i="8"/>
  <c r="V58" i="8"/>
  <c r="X58" i="8"/>
  <c r="X52" i="8" s="1"/>
  <c r="X74" i="8" s="1"/>
  <c r="Y58" i="8"/>
  <c r="Y52" i="8" s="1"/>
  <c r="Y74" i="8" s="1"/>
  <c r="Z58" i="8"/>
  <c r="Z52" i="8" s="1"/>
  <c r="Z74" i="8" s="1"/>
  <c r="AA58" i="8"/>
  <c r="AC58" i="8"/>
  <c r="AD58" i="8"/>
  <c r="R43" i="8"/>
  <c r="R30" i="8"/>
  <c r="R27" i="8"/>
  <c r="R19" i="8"/>
  <c r="R18" i="8"/>
  <c r="R100" i="8" s="1"/>
  <c r="R14" i="8"/>
  <c r="R9" i="8"/>
  <c r="R69" i="8" s="1"/>
  <c r="R7" i="8"/>
  <c r="W43" i="8"/>
  <c r="W9" i="8"/>
  <c r="W69" i="8" s="1"/>
  <c r="W7" i="8"/>
  <c r="AB43" i="8"/>
  <c r="AB9" i="8"/>
  <c r="AB69" i="8" s="1"/>
  <c r="AB7" i="8"/>
  <c r="O8" i="16"/>
  <c r="O34" i="14"/>
  <c r="O58" i="8"/>
  <c r="O52" i="8" s="1"/>
  <c r="O74" i="8" s="1"/>
  <c r="N8" i="16"/>
  <c r="N34" i="14"/>
  <c r="N58" i="8"/>
  <c r="AB9" i="5"/>
  <c r="AB36" i="16" s="1"/>
  <c r="AA37" i="5"/>
  <c r="Z37" i="5"/>
  <c r="Z38" i="5" s="1"/>
  <c r="Y37" i="5"/>
  <c r="Y38" i="5" s="1"/>
  <c r="X37" i="5"/>
  <c r="V37" i="5"/>
  <c r="V38" i="5" s="1"/>
  <c r="U37" i="5"/>
  <c r="T37" i="5"/>
  <c r="T38" i="5" s="1"/>
  <c r="S37" i="5"/>
  <c r="Q37" i="5"/>
  <c r="Q38" i="5" s="1"/>
  <c r="P37" i="5"/>
  <c r="O37" i="5"/>
  <c r="O38" i="5" s="1"/>
  <c r="N37" i="5"/>
  <c r="AB26" i="5"/>
  <c r="W26" i="5"/>
  <c r="R26" i="5"/>
  <c r="N27" i="5"/>
  <c r="O27" i="5"/>
  <c r="P27" i="5"/>
  <c r="Q27" i="5"/>
  <c r="S27" i="5"/>
  <c r="T27" i="5"/>
  <c r="U27" i="5"/>
  <c r="V27" i="5"/>
  <c r="X27" i="5"/>
  <c r="Y27" i="5"/>
  <c r="Z27" i="5"/>
  <c r="AA27" i="5"/>
  <c r="P20" i="14"/>
  <c r="T15" i="14"/>
  <c r="O21" i="14"/>
  <c r="P21" i="14"/>
  <c r="T14" i="14"/>
  <c r="O20" i="14"/>
  <c r="O11" i="14"/>
  <c r="S14" i="14"/>
  <c r="N11" i="14"/>
  <c r="S15" i="14"/>
  <c r="AC27" i="5"/>
  <c r="R11" i="14"/>
  <c r="AC37" i="5"/>
  <c r="AC60" i="8" s="1"/>
  <c r="AC16" i="5"/>
  <c r="AC32" i="5"/>
  <c r="AC22" i="5"/>
  <c r="AE32" i="5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W26" i="6" s="1"/>
  <c r="V16" i="6"/>
  <c r="V28" i="6" s="1"/>
  <c r="U16" i="6"/>
  <c r="T16" i="6"/>
  <c r="S16" i="6"/>
  <c r="R16" i="6"/>
  <c r="R28" i="6" s="1"/>
  <c r="Q16" i="6"/>
  <c r="P16" i="6"/>
  <c r="O16" i="6"/>
  <c r="N16" i="6"/>
  <c r="M16" i="6"/>
  <c r="L16" i="6"/>
  <c r="K16" i="6"/>
  <c r="J16" i="6"/>
  <c r="J34" i="6" s="1"/>
  <c r="I16" i="6"/>
  <c r="H16" i="6"/>
  <c r="H32" i="6" s="1"/>
  <c r="G16" i="6"/>
  <c r="G28" i="6" s="1"/>
  <c r="F16" i="6"/>
  <c r="E16" i="6"/>
  <c r="D16" i="6"/>
  <c r="AH190" i="5"/>
  <c r="AH134" i="5"/>
  <c r="AH84" i="5"/>
  <c r="X18" i="5"/>
  <c r="U32" i="5"/>
  <c r="V32" i="5"/>
  <c r="T32" i="5"/>
  <c r="T22" i="5"/>
  <c r="S22" i="5"/>
  <c r="Q32" i="5"/>
  <c r="Q22" i="5"/>
  <c r="P32" i="5"/>
  <c r="P22" i="5"/>
  <c r="O32" i="5"/>
  <c r="N32" i="5"/>
  <c r="N22" i="5"/>
  <c r="V16" i="5"/>
  <c r="V18" i="5" s="1"/>
  <c r="T16" i="5"/>
  <c r="T18" i="5" s="1"/>
  <c r="S16" i="5"/>
  <c r="S18" i="5" s="1"/>
  <c r="Q16" i="5"/>
  <c r="P16" i="5"/>
  <c r="P18" i="5" s="1"/>
  <c r="O16" i="5"/>
  <c r="N16" i="5"/>
  <c r="N18" i="5" s="1"/>
  <c r="O22" i="5"/>
  <c r="S32" i="5"/>
  <c r="X16" i="5"/>
  <c r="X22" i="5"/>
  <c r="X32" i="5"/>
  <c r="V22" i="5"/>
  <c r="U22" i="5"/>
  <c r="Z32" i="5"/>
  <c r="Y22" i="5"/>
  <c r="Y32" i="5"/>
  <c r="Y16" i="5"/>
  <c r="Z22" i="5"/>
  <c r="Z16" i="5"/>
  <c r="AA32" i="5"/>
  <c r="AA22" i="5"/>
  <c r="AA16" i="5"/>
  <c r="AC190" i="5"/>
  <c r="X190" i="5"/>
  <c r="S190" i="5"/>
  <c r="N190" i="5"/>
  <c r="AC134" i="5"/>
  <c r="X134" i="5"/>
  <c r="S134" i="5"/>
  <c r="N134" i="5"/>
  <c r="AC84" i="5"/>
  <c r="X84" i="5"/>
  <c r="S84" i="5"/>
  <c r="N84" i="5"/>
  <c r="R47" i="5"/>
  <c r="R53" i="5"/>
  <c r="W47" i="5"/>
  <c r="AB47" i="5"/>
  <c r="R14" i="5"/>
  <c r="R59" i="8" s="1"/>
  <c r="R21" i="5"/>
  <c r="R31" i="5"/>
  <c r="AB14" i="5"/>
  <c r="AB53" i="5"/>
  <c r="AB67" i="16" s="1"/>
  <c r="AB31" i="5"/>
  <c r="AB21" i="5"/>
  <c r="W31" i="5"/>
  <c r="W21" i="5"/>
  <c r="U16" i="5"/>
  <c r="U18" i="5" s="1"/>
  <c r="W14" i="5"/>
  <c r="W59" i="8" s="1"/>
  <c r="W53" i="5"/>
  <c r="AE11" i="14"/>
  <c r="AI21" i="14"/>
  <c r="AI15" i="14"/>
  <c r="AH14" i="14"/>
  <c r="AH11" i="14"/>
  <c r="AM17" i="14" s="1"/>
  <c r="AH15" i="14"/>
  <c r="AL15" i="14"/>
  <c r="AL11" i="14"/>
  <c r="AI20" i="14"/>
  <c r="AI11" i="14"/>
  <c r="AN17" i="14" s="1"/>
  <c r="AI14" i="14"/>
  <c r="AL14" i="14"/>
  <c r="W15" i="14"/>
  <c r="V9" i="14"/>
  <c r="V21" i="14" s="1"/>
  <c r="AB15" i="14"/>
  <c r="AB14" i="14"/>
  <c r="W14" i="14"/>
  <c r="W11" i="14"/>
  <c r="V8" i="14"/>
  <c r="V20" i="14" s="1"/>
  <c r="P17" i="19"/>
  <c r="X17" i="19"/>
  <c r="S17" i="19"/>
  <c r="AC17" i="19"/>
  <c r="AG17" i="19"/>
  <c r="AL17" i="19"/>
  <c r="AE17" i="19"/>
  <c r="AJ58" i="8"/>
  <c r="AJ34" i="19"/>
  <c r="AJ9" i="19" s="1"/>
  <c r="AE45" i="16"/>
  <c r="AE47" i="16"/>
  <c r="AE51" i="16" s="1"/>
  <c r="AE9" i="16"/>
  <c r="AF10" i="16" s="1"/>
  <c r="P34" i="6"/>
  <c r="P26" i="6"/>
  <c r="N36" i="6"/>
  <c r="H26" i="6"/>
  <c r="N32" i="6"/>
  <c r="D34" i="6"/>
  <c r="P28" i="6"/>
  <c r="E30" i="6"/>
  <c r="Q30" i="6"/>
  <c r="AN22" i="6"/>
  <c r="G32" i="6" l="1"/>
  <c r="E41" i="5"/>
  <c r="E49" i="5" s="1"/>
  <c r="E50" i="5" s="1"/>
  <c r="N17" i="14"/>
  <c r="AE59" i="8"/>
  <c r="AE53" i="8" s="1"/>
  <c r="AE108" i="8" s="1"/>
  <c r="P18" i="6"/>
  <c r="Q18" i="6"/>
  <c r="Y18" i="6"/>
  <c r="Z20" i="6"/>
  <c r="R34" i="14"/>
  <c r="R27" i="14" s="1"/>
  <c r="R28" i="5"/>
  <c r="R58" i="8"/>
  <c r="R95" i="8" s="1"/>
  <c r="N21" i="14"/>
  <c r="R22" i="5"/>
  <c r="AE22" i="5"/>
  <c r="L11" i="14"/>
  <c r="N23" i="14" s="1"/>
  <c r="AA21" i="14"/>
  <c r="AJ18" i="6"/>
  <c r="Q20" i="14"/>
  <c r="L15" i="14"/>
  <c r="U23" i="14"/>
  <c r="T20" i="6"/>
  <c r="AJ20" i="6"/>
  <c r="P20" i="6"/>
  <c r="X20" i="6"/>
  <c r="F23" i="14"/>
  <c r="J20" i="6"/>
  <c r="R18" i="6"/>
  <c r="Z18" i="6"/>
  <c r="AH20" i="6"/>
  <c r="V20" i="6"/>
  <c r="W20" i="6" s="1"/>
  <c r="W17" i="14"/>
  <c r="M61" i="8"/>
  <c r="M51" i="8" s="1"/>
  <c r="G41" i="5"/>
  <c r="G42" i="5" s="1"/>
  <c r="Q15" i="14"/>
  <c r="Q11" i="14"/>
  <c r="Q35" i="14" s="1"/>
  <c r="Q21" i="14"/>
  <c r="X18" i="6"/>
  <c r="P17" i="14"/>
  <c r="V11" i="14"/>
  <c r="X23" i="14" s="1"/>
  <c r="W27" i="5"/>
  <c r="J60" i="8"/>
  <c r="W12" i="8"/>
  <c r="W23" i="8" s="1"/>
  <c r="AF11" i="14"/>
  <c r="AH23" i="14" s="1"/>
  <c r="Z17" i="14"/>
  <c r="L14" i="14"/>
  <c r="N20" i="6"/>
  <c r="AE20" i="6"/>
  <c r="R17" i="14"/>
  <c r="Z23" i="14"/>
  <c r="G20" i="14"/>
  <c r="K17" i="14"/>
  <c r="I20" i="14"/>
  <c r="R32" i="8"/>
  <c r="R41" i="8" s="1"/>
  <c r="R45" i="8" s="1"/>
  <c r="K20" i="6"/>
  <c r="S106" i="8"/>
  <c r="R12" i="8"/>
  <c r="R23" i="8" s="1"/>
  <c r="M32" i="8"/>
  <c r="M41" i="8" s="1"/>
  <c r="M45" i="8" s="1"/>
  <c r="AB17" i="16"/>
  <c r="AB69" i="19"/>
  <c r="AC38" i="5"/>
  <c r="W49" i="19"/>
  <c r="W70" i="19"/>
  <c r="W50" i="19"/>
  <c r="M12" i="8"/>
  <c r="M23" i="8" s="1"/>
  <c r="AC54" i="8"/>
  <c r="R17" i="16"/>
  <c r="R69" i="19"/>
  <c r="G38" i="5"/>
  <c r="R100" i="16"/>
  <c r="M49" i="19"/>
  <c r="M50" i="19"/>
  <c r="M70" i="19"/>
  <c r="X21" i="14"/>
  <c r="R34" i="19"/>
  <c r="R9" i="19" s="1"/>
  <c r="H17" i="16"/>
  <c r="H21" i="16" s="1"/>
  <c r="H7" i="5" s="1"/>
  <c r="H69" i="19"/>
  <c r="N18" i="6"/>
  <c r="AX113" i="5"/>
  <c r="AO8" i="19"/>
  <c r="AO9" i="19"/>
  <c r="AS85" i="8"/>
  <c r="AS95" i="8"/>
  <c r="AS71" i="8"/>
  <c r="AX137" i="5"/>
  <c r="AX100" i="16"/>
  <c r="AX8" i="16"/>
  <c r="AX36" i="16"/>
  <c r="AX17" i="16"/>
  <c r="AX107" i="16"/>
  <c r="AX174" i="16" s="1"/>
  <c r="AX176" i="16" s="1"/>
  <c r="AX178" i="16" s="1"/>
  <c r="AX87" i="5"/>
  <c r="AX77" i="12"/>
  <c r="AX58" i="8"/>
  <c r="AX34" i="14"/>
  <c r="AX35" i="14" s="1"/>
  <c r="AX34" i="19"/>
  <c r="AX8" i="19" s="1"/>
  <c r="AP17" i="16"/>
  <c r="AP69" i="19"/>
  <c r="AR50" i="19"/>
  <c r="AR70" i="19"/>
  <c r="AR49" i="19"/>
  <c r="AT69" i="19"/>
  <c r="AS49" i="19"/>
  <c r="AS70" i="19"/>
  <c r="AS50" i="19"/>
  <c r="AX69" i="19"/>
  <c r="AS21" i="6"/>
  <c r="AB12" i="8"/>
  <c r="AB23" i="8" s="1"/>
  <c r="H12" i="8"/>
  <c r="H23" i="8" s="1"/>
  <c r="S72" i="8"/>
  <c r="H32" i="8"/>
  <c r="H41" i="8" s="1"/>
  <c r="H45" i="8" s="1"/>
  <c r="AF30" i="8"/>
  <c r="AE32" i="8"/>
  <c r="AE41" i="8" s="1"/>
  <c r="W103" i="8"/>
  <c r="W105" i="8" s="1"/>
  <c r="W32" i="8"/>
  <c r="AB103" i="8"/>
  <c r="AB32" i="8"/>
  <c r="AB41" i="8" s="1"/>
  <c r="AB45" i="8" s="1"/>
  <c r="Q72" i="8"/>
  <c r="H48" i="8"/>
  <c r="AR18" i="16"/>
  <c r="AS19" i="16" s="1"/>
  <c r="V119" i="8"/>
  <c r="V121" i="8" s="1"/>
  <c r="U119" i="8"/>
  <c r="U121" i="8" s="1"/>
  <c r="AD38" i="12"/>
  <c r="AD27" i="12"/>
  <c r="AB34" i="14"/>
  <c r="AB35" i="14" s="1"/>
  <c r="AB8" i="16"/>
  <c r="AB77" i="12"/>
  <c r="O41" i="5"/>
  <c r="O109" i="5" s="1"/>
  <c r="E35" i="14"/>
  <c r="N78" i="12"/>
  <c r="X78" i="12"/>
  <c r="AR17" i="16"/>
  <c r="AM71" i="8"/>
  <c r="AM85" i="8"/>
  <c r="AM95" i="8"/>
  <c r="N68" i="12"/>
  <c r="N65" i="8" s="1"/>
  <c r="H68" i="12"/>
  <c r="H65" i="8" s="1"/>
  <c r="R116" i="8"/>
  <c r="R18" i="16"/>
  <c r="W19" i="16" s="1"/>
  <c r="N80" i="8"/>
  <c r="O80" i="8"/>
  <c r="Q113" i="8"/>
  <c r="Q114" i="8"/>
  <c r="R19" i="16"/>
  <c r="L18" i="16"/>
  <c r="W116" i="8"/>
  <c r="W18" i="16"/>
  <c r="AB19" i="16" s="1"/>
  <c r="M19" i="16"/>
  <c r="G18" i="16"/>
  <c r="W17" i="16"/>
  <c r="M17" i="16"/>
  <c r="AT34" i="19"/>
  <c r="AT8" i="19" s="1"/>
  <c r="AT9" i="19" s="1"/>
  <c r="AT17" i="16"/>
  <c r="N114" i="16"/>
  <c r="M89" i="16"/>
  <c r="AS193" i="5"/>
  <c r="AR34" i="19"/>
  <c r="AR8" i="19" s="1"/>
  <c r="AS27" i="19"/>
  <c r="Q87" i="8"/>
  <c r="N71" i="8"/>
  <c r="AF73" i="8"/>
  <c r="AJ72" i="8"/>
  <c r="AF107" i="8"/>
  <c r="AJ106" i="8"/>
  <c r="N105" i="8"/>
  <c r="S105" i="8"/>
  <c r="AC105" i="8"/>
  <c r="T73" i="8"/>
  <c r="AF80" i="8"/>
  <c r="AJ79" i="8"/>
  <c r="AF114" i="8"/>
  <c r="AJ113" i="8"/>
  <c r="AR47" i="16"/>
  <c r="AR51" i="16" s="1"/>
  <c r="AR45" i="16"/>
  <c r="H100" i="16"/>
  <c r="AF109" i="16"/>
  <c r="AJ108" i="16"/>
  <c r="R107" i="16"/>
  <c r="R116" i="16" s="1"/>
  <c r="AJ95" i="8"/>
  <c r="AJ71" i="8"/>
  <c r="AJ85" i="8"/>
  <c r="AB107" i="16"/>
  <c r="AB116" i="16" s="1"/>
  <c r="AT100" i="16"/>
  <c r="AT77" i="12"/>
  <c r="AO21" i="6"/>
  <c r="AT34" i="14"/>
  <c r="AT36" i="16"/>
  <c r="AT8" i="16"/>
  <c r="AT193" i="5"/>
  <c r="AT87" i="5"/>
  <c r="AT137" i="5"/>
  <c r="AT120" i="8" s="1"/>
  <c r="AT121" i="8" s="1"/>
  <c r="AR34" i="14"/>
  <c r="AR36" i="16"/>
  <c r="AR77" i="12"/>
  <c r="AM21" i="6"/>
  <c r="AR100" i="16"/>
  <c r="AR8" i="16"/>
  <c r="AR58" i="8"/>
  <c r="AR193" i="5"/>
  <c r="AR11" i="5"/>
  <c r="AR87" i="5"/>
  <c r="AR137" i="5"/>
  <c r="AR120" i="8" s="1"/>
  <c r="AR121" i="8" s="1"/>
  <c r="AS78" i="12"/>
  <c r="AT11" i="5"/>
  <c r="AS11" i="5"/>
  <c r="AK21" i="6"/>
  <c r="AS38" i="16"/>
  <c r="AS42" i="16" s="1"/>
  <c r="AS26" i="14"/>
  <c r="AI65" i="12"/>
  <c r="AI95" i="8"/>
  <c r="AI71" i="8"/>
  <c r="AI85" i="8"/>
  <c r="K38" i="5"/>
  <c r="V68" i="12"/>
  <c r="V71" i="12" s="1"/>
  <c r="V68" i="5" s="1"/>
  <c r="H64" i="16"/>
  <c r="R9" i="16"/>
  <c r="W10" i="16" s="1"/>
  <c r="V113" i="8"/>
  <c r="AE113" i="8"/>
  <c r="H99" i="5"/>
  <c r="U79" i="8"/>
  <c r="AC72" i="8"/>
  <c r="AH72" i="8"/>
  <c r="AC106" i="8"/>
  <c r="AH106" i="8"/>
  <c r="L116" i="16"/>
  <c r="M18" i="6"/>
  <c r="U18" i="6"/>
  <c r="AC18" i="6"/>
  <c r="AK20" i="6"/>
  <c r="AL20" i="6" s="1"/>
  <c r="L20" i="14"/>
  <c r="G20" i="6"/>
  <c r="H20" i="6" s="1"/>
  <c r="AE18" i="6"/>
  <c r="AH17" i="14"/>
  <c r="AL18" i="6"/>
  <c r="L119" i="8"/>
  <c r="L121" i="8" s="1"/>
  <c r="Q20" i="6"/>
  <c r="R20" i="6" s="1"/>
  <c r="AG18" i="6"/>
  <c r="J18" i="6"/>
  <c r="AH18" i="6"/>
  <c r="J23" i="14"/>
  <c r="AA20" i="6"/>
  <c r="AB20" i="6" s="1"/>
  <c r="Y20" i="6"/>
  <c r="V18" i="6"/>
  <c r="D20" i="6"/>
  <c r="T18" i="6"/>
  <c r="Q14" i="14"/>
  <c r="O60" i="8"/>
  <c r="O112" i="8" s="1"/>
  <c r="R16" i="5"/>
  <c r="R91" i="5" s="1"/>
  <c r="AD81" i="16"/>
  <c r="AF8" i="12"/>
  <c r="AE13" i="12"/>
  <c r="AF13" i="12" s="1"/>
  <c r="AE19" i="12"/>
  <c r="AF19" i="12" s="1"/>
  <c r="AE25" i="12"/>
  <c r="AF25" i="12" s="1"/>
  <c r="AE45" i="12"/>
  <c r="AF45" i="12" s="1"/>
  <c r="AE56" i="12"/>
  <c r="AF56" i="12" s="1"/>
  <c r="AE18" i="12"/>
  <c r="AF18" i="12" s="1"/>
  <c r="AE9" i="12"/>
  <c r="AF9" i="12" s="1"/>
  <c r="AE12" i="12"/>
  <c r="AF12" i="12" s="1"/>
  <c r="AE20" i="12"/>
  <c r="AF20" i="12" s="1"/>
  <c r="AE30" i="12"/>
  <c r="AF42" i="12"/>
  <c r="AE46" i="12"/>
  <c r="AF46" i="12" s="1"/>
  <c r="AE16" i="12"/>
  <c r="AF16" i="12" s="1"/>
  <c r="AE10" i="12"/>
  <c r="AF10" i="12" s="1"/>
  <c r="AE23" i="12"/>
  <c r="AF23" i="12" s="1"/>
  <c r="AE35" i="12"/>
  <c r="AE94" i="8" s="1"/>
  <c r="AE98" i="8" s="1"/>
  <c r="AE47" i="12"/>
  <c r="AE22" i="12"/>
  <c r="AF22" i="12" s="1"/>
  <c r="AA115" i="16"/>
  <c r="AE17" i="12"/>
  <c r="AF17" i="12" s="1"/>
  <c r="AE24" i="12"/>
  <c r="AF24" i="12" s="1"/>
  <c r="AE32" i="12"/>
  <c r="AF32" i="12" s="1"/>
  <c r="AE36" i="12"/>
  <c r="AF36" i="12" s="1"/>
  <c r="AE44" i="12"/>
  <c r="AF44" i="12" s="1"/>
  <c r="AE48" i="12"/>
  <c r="AF48" i="12" s="1"/>
  <c r="AE21" i="12"/>
  <c r="AF21" i="12" s="1"/>
  <c r="AA79" i="8"/>
  <c r="AF79" i="8"/>
  <c r="AA119" i="8"/>
  <c r="AA121" i="8" s="1"/>
  <c r="AF119" i="8"/>
  <c r="AB100" i="8"/>
  <c r="AG93" i="8"/>
  <c r="AB89" i="16"/>
  <c r="AG114" i="16"/>
  <c r="X64" i="16"/>
  <c r="Q63" i="8"/>
  <c r="Y63" i="8"/>
  <c r="H63" i="8"/>
  <c r="H61" i="12"/>
  <c r="M60" i="12" s="1"/>
  <c r="N63" i="8"/>
  <c r="V63" i="8"/>
  <c r="X63" i="8"/>
  <c r="M23" i="5"/>
  <c r="Z41" i="5"/>
  <c r="Z42" i="5" s="1"/>
  <c r="AD78" i="12"/>
  <c r="V15" i="14"/>
  <c r="W23" i="5"/>
  <c r="Z18" i="5"/>
  <c r="O17" i="14"/>
  <c r="W28" i="5"/>
  <c r="T80" i="8"/>
  <c r="W93" i="8"/>
  <c r="W97" i="8" s="1"/>
  <c r="E20" i="6"/>
  <c r="W72" i="8"/>
  <c r="V95" i="8"/>
  <c r="AI23" i="14"/>
  <c r="AE23" i="14"/>
  <c r="AC20" i="6"/>
  <c r="W51" i="8"/>
  <c r="AC78" i="12"/>
  <c r="Z119" i="8"/>
  <c r="Z121" i="8" s="1"/>
  <c r="U20" i="6"/>
  <c r="AB90" i="8"/>
  <c r="U17" i="14"/>
  <c r="AB64" i="16"/>
  <c r="M90" i="8"/>
  <c r="M88" i="8" s="1"/>
  <c r="AB17" i="14"/>
  <c r="U35" i="14"/>
  <c r="AF15" i="14"/>
  <c r="AH21" i="14"/>
  <c r="AF21" i="14"/>
  <c r="AH20" i="14"/>
  <c r="X20" i="14"/>
  <c r="H18" i="6"/>
  <c r="AA60" i="8"/>
  <c r="AA112" i="8" s="1"/>
  <c r="AA38" i="5"/>
  <c r="H107" i="16"/>
  <c r="H116" i="16" s="1"/>
  <c r="H34" i="19"/>
  <c r="H8" i="19" s="1"/>
  <c r="H77" i="12"/>
  <c r="M116" i="8"/>
  <c r="M9" i="16"/>
  <c r="L9" i="16" s="1"/>
  <c r="N10" i="16" s="1"/>
  <c r="N12" i="16" s="1"/>
  <c r="AA11" i="14"/>
  <c r="AC23" i="14" s="1"/>
  <c r="AA20" i="14"/>
  <c r="AF14" i="14"/>
  <c r="G11" i="14"/>
  <c r="G21" i="14"/>
  <c r="I21" i="14"/>
  <c r="AE28" i="5"/>
  <c r="AE29" i="5"/>
  <c r="AE37" i="5"/>
  <c r="AE60" i="8" s="1"/>
  <c r="AG46" i="5"/>
  <c r="AG164" i="5" s="1"/>
  <c r="AA15" i="14"/>
  <c r="E18" i="6"/>
  <c r="P23" i="14"/>
  <c r="AG45" i="5"/>
  <c r="AG83" i="16" s="1"/>
  <c r="AF83" i="16"/>
  <c r="Y41" i="5"/>
  <c r="Y49" i="5" s="1"/>
  <c r="Y54" i="5" s="1"/>
  <c r="Y18" i="5"/>
  <c r="K18" i="6"/>
  <c r="S18" i="6"/>
  <c r="AL17" i="14"/>
  <c r="AQ17" i="14"/>
  <c r="Y17" i="14"/>
  <c r="T17" i="14"/>
  <c r="G18" i="6"/>
  <c r="N35" i="14"/>
  <c r="T35" i="14"/>
  <c r="M33" i="5"/>
  <c r="AG26" i="5"/>
  <c r="AD29" i="5"/>
  <c r="AD28" i="5"/>
  <c r="AE33" i="5"/>
  <c r="AE34" i="5"/>
  <c r="AB51" i="8"/>
  <c r="X35" i="14"/>
  <c r="M17" i="14"/>
  <c r="L26" i="14"/>
  <c r="AD33" i="5"/>
  <c r="AG31" i="5"/>
  <c r="AD34" i="5"/>
  <c r="Y60" i="8"/>
  <c r="Y112" i="8" s="1"/>
  <c r="O18" i="5"/>
  <c r="AK18" i="6"/>
  <c r="AB58" i="8"/>
  <c r="AB52" i="8" s="1"/>
  <c r="AB74" i="8" s="1"/>
  <c r="AB28" i="5"/>
  <c r="AG17" i="14"/>
  <c r="Q26" i="14"/>
  <c r="I41" i="5"/>
  <c r="I42" i="5" s="1"/>
  <c r="F38" i="5"/>
  <c r="Q70" i="16"/>
  <c r="Q85" i="16" s="1"/>
  <c r="S114" i="8"/>
  <c r="J88" i="8"/>
  <c r="AB93" i="8"/>
  <c r="AB97" i="8" s="1"/>
  <c r="S79" i="8"/>
  <c r="P114" i="8"/>
  <c r="P80" i="8"/>
  <c r="L49" i="8"/>
  <c r="L50" i="8" s="1"/>
  <c r="T72" i="8"/>
  <c r="L72" i="8"/>
  <c r="V107" i="8"/>
  <c r="Z88" i="8"/>
  <c r="AB72" i="8"/>
  <c r="L50" i="7"/>
  <c r="G115" i="16"/>
  <c r="I115" i="16"/>
  <c r="AA64" i="16"/>
  <c r="H89" i="16"/>
  <c r="T114" i="16"/>
  <c r="O64" i="12"/>
  <c r="O68" i="12" s="1"/>
  <c r="O71" i="12" s="1"/>
  <c r="O68" i="5" s="1"/>
  <c r="O63" i="8"/>
  <c r="S64" i="12"/>
  <c r="S68" i="12" s="1"/>
  <c r="S65" i="8" s="1"/>
  <c r="S63" i="8"/>
  <c r="W64" i="12"/>
  <c r="W63" i="8"/>
  <c r="AA64" i="12"/>
  <c r="AA68" i="12" s="1"/>
  <c r="AA63" i="8"/>
  <c r="P64" i="12"/>
  <c r="P68" i="12" s="1"/>
  <c r="P63" i="8"/>
  <c r="AB64" i="12"/>
  <c r="AB68" i="12" s="1"/>
  <c r="AB63" i="8"/>
  <c r="AA89" i="16"/>
  <c r="AA116" i="16"/>
  <c r="M64" i="12"/>
  <c r="M68" i="12" s="1"/>
  <c r="M63" i="8"/>
  <c r="U64" i="12"/>
  <c r="U68" i="12" s="1"/>
  <c r="U63" i="8"/>
  <c r="AC64" i="12"/>
  <c r="AC68" i="12" s="1"/>
  <c r="AC63" i="8"/>
  <c r="T64" i="12"/>
  <c r="T68" i="12" s="1"/>
  <c r="T63" i="8"/>
  <c r="X64" i="12"/>
  <c r="X68" i="12" s="1"/>
  <c r="X67" i="5" s="1"/>
  <c r="AD65" i="12"/>
  <c r="AC115" i="16"/>
  <c r="R64" i="12"/>
  <c r="R63" i="8"/>
  <c r="Z64" i="12"/>
  <c r="Z68" i="12" s="1"/>
  <c r="Z63" i="8"/>
  <c r="U113" i="8"/>
  <c r="T107" i="8"/>
  <c r="Z73" i="8"/>
  <c r="J41" i="5"/>
  <c r="W80" i="16"/>
  <c r="M10" i="5"/>
  <c r="AN64" i="16"/>
  <c r="AN89" i="16"/>
  <c r="AO78" i="12"/>
  <c r="AO79" i="12"/>
  <c r="AB27" i="5"/>
  <c r="R32" i="5"/>
  <c r="R33" i="5"/>
  <c r="AB10" i="5"/>
  <c r="AF61" i="8"/>
  <c r="F41" i="5"/>
  <c r="F42" i="5" s="1"/>
  <c r="H8" i="16"/>
  <c r="W10" i="5"/>
  <c r="AM89" i="16"/>
  <c r="AM64" i="16"/>
  <c r="AO38" i="16"/>
  <c r="AP34" i="14"/>
  <c r="AP36" i="16"/>
  <c r="AP100" i="16"/>
  <c r="AP34" i="19"/>
  <c r="AP77" i="12"/>
  <c r="AP8" i="16"/>
  <c r="AP58" i="8"/>
  <c r="AQ9" i="5"/>
  <c r="AQ107" i="16" s="1"/>
  <c r="AP137" i="5"/>
  <c r="AP120" i="8" s="1"/>
  <c r="AP121" i="8" s="1"/>
  <c r="AP87" i="5"/>
  <c r="AP11" i="5"/>
  <c r="AP193" i="5"/>
  <c r="AB32" i="5"/>
  <c r="AB33" i="5"/>
  <c r="D18" i="5"/>
  <c r="AM26" i="14"/>
  <c r="AM27" i="14"/>
  <c r="AM35" i="14"/>
  <c r="AN11" i="19"/>
  <c r="AN52" i="8"/>
  <c r="AN74" i="8" s="1"/>
  <c r="W32" i="5"/>
  <c r="W33" i="5"/>
  <c r="E18" i="5"/>
  <c r="D41" i="5"/>
  <c r="D42" i="5" s="1"/>
  <c r="H89" i="5"/>
  <c r="M28" i="5"/>
  <c r="L38" i="5"/>
  <c r="H96" i="5"/>
  <c r="R10" i="5"/>
  <c r="AN29" i="14"/>
  <c r="AM8" i="19"/>
  <c r="AM9" i="19"/>
  <c r="AM38" i="16"/>
  <c r="AO26" i="14"/>
  <c r="AO27" i="14"/>
  <c r="AO35" i="14"/>
  <c r="AH47" i="16"/>
  <c r="AH51" i="16" s="1"/>
  <c r="Z113" i="8"/>
  <c r="R93" i="8"/>
  <c r="R98" i="8" s="1"/>
  <c r="M48" i="8"/>
  <c r="L97" i="8"/>
  <c r="AA80" i="8"/>
  <c r="AB9" i="16"/>
  <c r="AG10" i="16" s="1"/>
  <c r="W9" i="16"/>
  <c r="AB10" i="16" s="1"/>
  <c r="M93" i="8"/>
  <c r="M97" i="8" s="1"/>
  <c r="P71" i="8"/>
  <c r="Y49" i="8"/>
  <c r="Y50" i="8" s="1"/>
  <c r="T49" i="8"/>
  <c r="T50" i="8" s="1"/>
  <c r="O49" i="8"/>
  <c r="O50" i="8" s="1"/>
  <c r="AD80" i="8"/>
  <c r="Z80" i="8"/>
  <c r="S80" i="8"/>
  <c r="L113" i="8"/>
  <c r="N114" i="8"/>
  <c r="Z114" i="8"/>
  <c r="L106" i="8"/>
  <c r="R126" i="8"/>
  <c r="AG39" i="8"/>
  <c r="Y113" i="8"/>
  <c r="AC80" i="8"/>
  <c r="Z79" i="8"/>
  <c r="X80" i="8"/>
  <c r="T113" i="8"/>
  <c r="X113" i="8"/>
  <c r="AL14" i="8"/>
  <c r="AD113" i="8"/>
  <c r="Q80" i="8"/>
  <c r="I49" i="8"/>
  <c r="I50" i="8" s="1"/>
  <c r="AL19" i="8"/>
  <c r="AD87" i="8"/>
  <c r="Y87" i="8"/>
  <c r="O87" i="8"/>
  <c r="V106" i="8"/>
  <c r="N98" i="8"/>
  <c r="Q107" i="8"/>
  <c r="AG21" i="8"/>
  <c r="V80" i="8"/>
  <c r="AG29" i="8"/>
  <c r="AG18" i="16" s="1"/>
  <c r="AL19" i="16" s="1"/>
  <c r="AF45" i="16"/>
  <c r="AD45" i="8"/>
  <c r="AD54" i="8" s="1"/>
  <c r="AB82" i="8"/>
  <c r="AB87" i="8" s="1"/>
  <c r="AA49" i="8"/>
  <c r="AA50" i="8" s="1"/>
  <c r="V49" i="8"/>
  <c r="V50" i="8" s="1"/>
  <c r="J85" i="8"/>
  <c r="G71" i="8"/>
  <c r="V79" i="8"/>
  <c r="R79" i="8"/>
  <c r="V114" i="8"/>
  <c r="AA87" i="8"/>
  <c r="V87" i="8"/>
  <c r="Z97" i="8"/>
  <c r="S107" i="8"/>
  <c r="O114" i="8"/>
  <c r="T87" i="8"/>
  <c r="X97" i="8"/>
  <c r="W126" i="8"/>
  <c r="E49" i="8"/>
  <c r="E50" i="8" s="1"/>
  <c r="L79" i="8"/>
  <c r="V105" i="8"/>
  <c r="N73" i="8"/>
  <c r="O107" i="8"/>
  <c r="S119" i="8"/>
  <c r="S121" i="8" s="1"/>
  <c r="AM45" i="16"/>
  <c r="AM47" i="16"/>
  <c r="AG20" i="8"/>
  <c r="H98" i="8"/>
  <c r="R90" i="8"/>
  <c r="R88" i="8" s="1"/>
  <c r="L88" i="8"/>
  <c r="M126" i="8"/>
  <c r="AL21" i="8"/>
  <c r="R113" i="8"/>
  <c r="W113" i="8"/>
  <c r="AB113" i="8"/>
  <c r="AB126" i="8"/>
  <c r="H90" i="8"/>
  <c r="H88" i="8" s="1"/>
  <c r="Q95" i="8"/>
  <c r="AB79" i="8"/>
  <c r="W79" i="8"/>
  <c r="R87" i="8"/>
  <c r="M87" i="8"/>
  <c r="AG68" i="16"/>
  <c r="AC108" i="16"/>
  <c r="AB80" i="16"/>
  <c r="Q80" i="16"/>
  <c r="AD12" i="16"/>
  <c r="Y12" i="16"/>
  <c r="Y131" i="8" s="1"/>
  <c r="T12" i="16"/>
  <c r="W86" i="8"/>
  <c r="W87" i="8" s="1"/>
  <c r="G80" i="16"/>
  <c r="AL40" i="16"/>
  <c r="AQ40" i="16"/>
  <c r="Y115" i="16"/>
  <c r="U64" i="16"/>
  <c r="P64" i="16"/>
  <c r="AE70" i="16"/>
  <c r="AE85" i="16" s="1"/>
  <c r="Q12" i="16"/>
  <c r="O116" i="16"/>
  <c r="D12" i="16"/>
  <c r="Y116" i="16"/>
  <c r="AF51" i="16"/>
  <c r="Y64" i="16"/>
  <c r="G81" i="16"/>
  <c r="AL39" i="16"/>
  <c r="Z114" i="16"/>
  <c r="V114" i="16"/>
  <c r="L87" i="8"/>
  <c r="T88" i="8"/>
  <c r="K98" i="8"/>
  <c r="K88" i="8"/>
  <c r="V115" i="16"/>
  <c r="O114" i="16"/>
  <c r="Q115" i="16"/>
  <c r="Y114" i="16"/>
  <c r="Z89" i="16"/>
  <c r="N64" i="16"/>
  <c r="AD94" i="8"/>
  <c r="AD98" i="8" s="1"/>
  <c r="AD83" i="8"/>
  <c r="AD88" i="8" s="1"/>
  <c r="AC85" i="8"/>
  <c r="Z115" i="16"/>
  <c r="O64" i="16"/>
  <c r="U115" i="16"/>
  <c r="O115" i="16"/>
  <c r="G116" i="16"/>
  <c r="Q116" i="16"/>
  <c r="V116" i="16"/>
  <c r="L114" i="16"/>
  <c r="Z64" i="16"/>
  <c r="S115" i="16"/>
  <c r="O89" i="16"/>
  <c r="AL54" i="12"/>
  <c r="AL58" i="12" s="1"/>
  <c r="M64" i="16"/>
  <c r="M114" i="16"/>
  <c r="S95" i="8"/>
  <c r="AE33" i="12"/>
  <c r="AF33" i="12" s="1"/>
  <c r="Y98" i="8"/>
  <c r="AE15" i="12"/>
  <c r="AF15" i="12" s="1"/>
  <c r="AE43" i="12"/>
  <c r="AF43" i="12" s="1"/>
  <c r="AA95" i="8"/>
  <c r="AE14" i="12"/>
  <c r="AF14" i="12" s="1"/>
  <c r="Q88" i="8"/>
  <c r="P115" i="16"/>
  <c r="U114" i="16"/>
  <c r="W64" i="16"/>
  <c r="W89" i="16"/>
  <c r="AB114" i="16"/>
  <c r="S64" i="16"/>
  <c r="X114" i="16"/>
  <c r="T115" i="16"/>
  <c r="AE41" i="12"/>
  <c r="AF41" i="12" s="1"/>
  <c r="AD54" i="12"/>
  <c r="Q64" i="12"/>
  <c r="Q68" i="12" s="1"/>
  <c r="Y64" i="12"/>
  <c r="Y68" i="12" s="1"/>
  <c r="Q114" i="16"/>
  <c r="S89" i="16"/>
  <c r="W114" i="16"/>
  <c r="S114" i="16"/>
  <c r="P89" i="16"/>
  <c r="AC89" i="16"/>
  <c r="AC64" i="16"/>
  <c r="AC114" i="16"/>
  <c r="X115" i="16"/>
  <c r="V89" i="16"/>
  <c r="K95" i="8"/>
  <c r="Y88" i="8"/>
  <c r="Q64" i="16"/>
  <c r="T85" i="8"/>
  <c r="L95" i="8"/>
  <c r="Z116" i="16"/>
  <c r="G83" i="8"/>
  <c r="G88" i="8" s="1"/>
  <c r="AL49" i="16"/>
  <c r="H97" i="8"/>
  <c r="G98" i="8"/>
  <c r="L64" i="16"/>
  <c r="G89" i="16"/>
  <c r="L115" i="16"/>
  <c r="L80" i="16"/>
  <c r="AB70" i="16"/>
  <c r="AB85" i="16" s="1"/>
  <c r="AA12" i="16"/>
  <c r="V12" i="16"/>
  <c r="E12" i="16"/>
  <c r="J12" i="16"/>
  <c r="AA88" i="8"/>
  <c r="V88" i="8"/>
  <c r="L98" i="8"/>
  <c r="Q97" i="8"/>
  <c r="V98" i="8"/>
  <c r="AA97" i="8"/>
  <c r="N115" i="16"/>
  <c r="G64" i="16"/>
  <c r="F12" i="16"/>
  <c r="K12" i="16"/>
  <c r="P87" i="8"/>
  <c r="Z87" i="8"/>
  <c r="AB116" i="8"/>
  <c r="AB47" i="16"/>
  <c r="AB51" i="16" s="1"/>
  <c r="M113" i="8"/>
  <c r="T114" i="8"/>
  <c r="S113" i="8"/>
  <c r="O98" i="8"/>
  <c r="O97" i="8"/>
  <c r="AG36" i="8"/>
  <c r="U114" i="8"/>
  <c r="AG19" i="8"/>
  <c r="Z71" i="8"/>
  <c r="AH45" i="16"/>
  <c r="M72" i="8"/>
  <c r="R72" i="8"/>
  <c r="H103" i="8"/>
  <c r="H105" i="8" s="1"/>
  <c r="AC79" i="8"/>
  <c r="Y80" i="8"/>
  <c r="X79" i="8"/>
  <c r="U80" i="8"/>
  <c r="T79" i="8"/>
  <c r="Y79" i="8"/>
  <c r="Q79" i="8"/>
  <c r="M79" i="8"/>
  <c r="AE114" i="8"/>
  <c r="AD114" i="8"/>
  <c r="AC73" i="8"/>
  <c r="AD97" i="8"/>
  <c r="Y97" i="8"/>
  <c r="T97" i="8"/>
  <c r="AA98" i="8"/>
  <c r="T119" i="8"/>
  <c r="T121" i="8" s="1"/>
  <c r="R103" i="8"/>
  <c r="R105" i="8" s="1"/>
  <c r="H9" i="16"/>
  <c r="H116" i="8"/>
  <c r="X114" i="8"/>
  <c r="AC113" i="8"/>
  <c r="AC114" i="8"/>
  <c r="AA113" i="8"/>
  <c r="X73" i="8"/>
  <c r="X72" i="8"/>
  <c r="T106" i="8"/>
  <c r="Q106" i="8"/>
  <c r="N107" i="8"/>
  <c r="AE106" i="8"/>
  <c r="AE107" i="8"/>
  <c r="AG35" i="8"/>
  <c r="AF9" i="16"/>
  <c r="AH10" i="16" s="1"/>
  <c r="AA114" i="8"/>
  <c r="Q98" i="8"/>
  <c r="AB45" i="16"/>
  <c r="M103" i="8"/>
  <c r="AE80" i="8"/>
  <c r="AD79" i="8"/>
  <c r="AA105" i="8"/>
  <c r="V97" i="8"/>
  <c r="V72" i="8"/>
  <c r="AA72" i="8"/>
  <c r="P88" i="8"/>
  <c r="P107" i="8"/>
  <c r="Z107" i="8"/>
  <c r="Z106" i="8"/>
  <c r="U107" i="8"/>
  <c r="U106" i="8"/>
  <c r="R53" i="8"/>
  <c r="R108" i="8" s="1"/>
  <c r="Z49" i="8"/>
  <c r="Z50" i="8" s="1"/>
  <c r="U49" i="8"/>
  <c r="U50" i="8" s="1"/>
  <c r="AC12" i="16"/>
  <c r="X12" i="16"/>
  <c r="X131" i="8" s="1"/>
  <c r="S12" i="16"/>
  <c r="D49" i="8"/>
  <c r="D50" i="8" s="1"/>
  <c r="G49" i="8"/>
  <c r="G50" i="8" s="1"/>
  <c r="Y114" i="8"/>
  <c r="S73" i="8"/>
  <c r="O73" i="8"/>
  <c r="U87" i="8"/>
  <c r="Y106" i="8"/>
  <c r="X119" i="8"/>
  <c r="X121" i="8" s="1"/>
  <c r="Q119" i="8"/>
  <c r="Q121" i="8" s="1"/>
  <c r="AE87" i="8"/>
  <c r="O12" i="16"/>
  <c r="N49" i="8"/>
  <c r="N50" i="8" s="1"/>
  <c r="AC49" i="8"/>
  <c r="AC50" i="8" s="1"/>
  <c r="X49" i="8"/>
  <c r="X50" i="8" s="1"/>
  <c r="S49" i="8"/>
  <c r="S50" i="8" s="1"/>
  <c r="AE12" i="16"/>
  <c r="AE131" i="8" s="1"/>
  <c r="Z12" i="16"/>
  <c r="U12" i="16"/>
  <c r="P12" i="16"/>
  <c r="G105" i="8"/>
  <c r="P105" i="8"/>
  <c r="P73" i="8"/>
  <c r="O88" i="8"/>
  <c r="U97" i="8"/>
  <c r="P97" i="8"/>
  <c r="X98" i="8"/>
  <c r="S98" i="8"/>
  <c r="AE119" i="8"/>
  <c r="AE121" i="8" s="1"/>
  <c r="V53" i="8"/>
  <c r="V108" i="8" s="1"/>
  <c r="AA85" i="8"/>
  <c r="T108" i="16"/>
  <c r="L52" i="8"/>
  <c r="L74" i="8" s="1"/>
  <c r="T116" i="16"/>
  <c r="X87" i="16"/>
  <c r="X94" i="16" s="1"/>
  <c r="X81" i="12" s="1"/>
  <c r="S87" i="16"/>
  <c r="N87" i="16"/>
  <c r="N94" i="16" s="1"/>
  <c r="N98" i="16" s="1"/>
  <c r="N66" i="5" s="1"/>
  <c r="I87" i="16"/>
  <c r="I94" i="16" s="1"/>
  <c r="I81" i="12" s="1"/>
  <c r="V85" i="8"/>
  <c r="Y108" i="16"/>
  <c r="Z51" i="8"/>
  <c r="J108" i="16"/>
  <c r="O108" i="16"/>
  <c r="AD108" i="16"/>
  <c r="Y8" i="19"/>
  <c r="Y11" i="19" s="1"/>
  <c r="Y35" i="19" s="1"/>
  <c r="Q71" i="8"/>
  <c r="AA52" i="8"/>
  <c r="AA74" i="8" s="1"/>
  <c r="D87" i="16"/>
  <c r="D94" i="16" s="1"/>
  <c r="D65" i="5" s="1"/>
  <c r="P109" i="16"/>
  <c r="V71" i="8"/>
  <c r="Y35" i="14"/>
  <c r="T26" i="14"/>
  <c r="O109" i="16"/>
  <c r="T109" i="16"/>
  <c r="N52" i="8"/>
  <c r="N74" i="8" s="1"/>
  <c r="AC9" i="19"/>
  <c r="AC11" i="19" s="1"/>
  <c r="AC35" i="19" s="1"/>
  <c r="T27" i="14"/>
  <c r="P52" i="8"/>
  <c r="P74" i="8" s="1"/>
  <c r="AD23" i="5"/>
  <c r="AD202" i="5"/>
  <c r="AD146" i="5"/>
  <c r="AD96" i="5"/>
  <c r="AD24" i="5"/>
  <c r="AE205" i="5"/>
  <c r="AE99" i="5"/>
  <c r="AE149" i="5"/>
  <c r="X105" i="8"/>
  <c r="W58" i="8"/>
  <c r="W95" i="8" s="1"/>
  <c r="R23" i="5"/>
  <c r="V41" i="5"/>
  <c r="V49" i="5" s="1"/>
  <c r="V117" i="5" s="1"/>
  <c r="AG62" i="5"/>
  <c r="AG110" i="16" s="1"/>
  <c r="AH236" i="5"/>
  <c r="AD149" i="5"/>
  <c r="AD99" i="5"/>
  <c r="AD205" i="5"/>
  <c r="E87" i="16"/>
  <c r="E94" i="16" s="1"/>
  <c r="AE152" i="5"/>
  <c r="AE102" i="5"/>
  <c r="AE208" i="5"/>
  <c r="AB22" i="5"/>
  <c r="AB23" i="5"/>
  <c r="W34" i="14"/>
  <c r="W26" i="14" s="1"/>
  <c r="AD22" i="5"/>
  <c r="AE27" i="5"/>
  <c r="AB100" i="16"/>
  <c r="AB34" i="19"/>
  <c r="AB8" i="19" s="1"/>
  <c r="H27" i="5"/>
  <c r="H102" i="5"/>
  <c r="H34" i="14"/>
  <c r="H26" i="14" s="1"/>
  <c r="R77" i="12"/>
  <c r="AD152" i="5"/>
  <c r="AD102" i="5"/>
  <c r="AD208" i="5"/>
  <c r="AH77" i="12"/>
  <c r="AI79" i="12" s="1"/>
  <c r="AE89" i="5"/>
  <c r="AE195" i="5"/>
  <c r="AE139" i="5"/>
  <c r="AE171" i="5"/>
  <c r="AE121" i="5"/>
  <c r="AE227" i="5"/>
  <c r="AD171" i="5"/>
  <c r="AD121" i="5"/>
  <c r="AD227" i="5"/>
  <c r="W8" i="16"/>
  <c r="AD37" i="5"/>
  <c r="AD38" i="5" s="1"/>
  <c r="H22" i="5"/>
  <c r="AD195" i="5"/>
  <c r="AD139" i="5"/>
  <c r="AD89" i="5"/>
  <c r="AD67" i="16"/>
  <c r="AD70" i="16" s="1"/>
  <c r="AD85" i="16" s="1"/>
  <c r="AE202" i="5"/>
  <c r="AE146" i="5"/>
  <c r="AE96" i="5"/>
  <c r="AE24" i="5"/>
  <c r="AE23" i="5"/>
  <c r="I51" i="8"/>
  <c r="L85" i="8"/>
  <c r="Q85" i="8"/>
  <c r="V52" i="8"/>
  <c r="V74" i="8" s="1"/>
  <c r="S108" i="16"/>
  <c r="G26" i="14"/>
  <c r="AA26" i="14"/>
  <c r="G27" i="14"/>
  <c r="J21" i="19"/>
  <c r="AE79" i="12"/>
  <c r="I108" i="16"/>
  <c r="AJ8" i="19"/>
  <c r="AJ11" i="19" s="1"/>
  <c r="AJ35" i="19" s="1"/>
  <c r="N51" i="8"/>
  <c r="AI52" i="8"/>
  <c r="AI74" i="8" s="1"/>
  <c r="L71" i="8"/>
  <c r="Q52" i="8"/>
  <c r="Q74" i="8" s="1"/>
  <c r="AA71" i="8"/>
  <c r="V27" i="14"/>
  <c r="S53" i="8"/>
  <c r="S108" i="8" s="1"/>
  <c r="AC53" i="8"/>
  <c r="AC108" i="8" s="1"/>
  <c r="AD27" i="14"/>
  <c r="AD29" i="14" s="1"/>
  <c r="K109" i="16"/>
  <c r="U109" i="16"/>
  <c r="I78" i="12"/>
  <c r="U26" i="19"/>
  <c r="AE52" i="8"/>
  <c r="AE74" i="8" s="1"/>
  <c r="Q108" i="16"/>
  <c r="P35" i="14"/>
  <c r="Z87" i="16"/>
  <c r="O51" i="8"/>
  <c r="G95" i="8"/>
  <c r="Y26" i="14"/>
  <c r="Y29" i="14" s="1"/>
  <c r="M50" i="7"/>
  <c r="Z35" i="14"/>
  <c r="AB47" i="8"/>
  <c r="E51" i="8"/>
  <c r="P53" i="8"/>
  <c r="P108" i="8" s="1"/>
  <c r="L27" i="14"/>
  <c r="J87" i="16"/>
  <c r="J94" i="16" s="1"/>
  <c r="J65" i="5" s="1"/>
  <c r="P108" i="16"/>
  <c r="AA109" i="16"/>
  <c r="V87" i="16"/>
  <c r="P9" i="19"/>
  <c r="P11" i="19" s="1"/>
  <c r="P35" i="19" s="1"/>
  <c r="F47" i="8"/>
  <c r="F49" i="8" s="1"/>
  <c r="F50" i="8" s="1"/>
  <c r="AC51" i="8"/>
  <c r="X85" i="8"/>
  <c r="Z109" i="16"/>
  <c r="G109" i="16"/>
  <c r="K116" i="16"/>
  <c r="Z27" i="14"/>
  <c r="Z29" i="14" s="1"/>
  <c r="Z9" i="19"/>
  <c r="Z21" i="19" s="1"/>
  <c r="U9" i="19"/>
  <c r="U116" i="16"/>
  <c r="P116" i="16"/>
  <c r="AA87" i="16"/>
  <c r="AA108" i="16"/>
  <c r="F109" i="16"/>
  <c r="G112" i="8"/>
  <c r="W47" i="8"/>
  <c r="V108" i="16"/>
  <c r="N53" i="8"/>
  <c r="N108" i="8" s="1"/>
  <c r="F35" i="14"/>
  <c r="O9" i="19"/>
  <c r="D9" i="19"/>
  <c r="E21" i="19" s="1"/>
  <c r="G51" i="8"/>
  <c r="AD52" i="8"/>
  <c r="AD74" i="8" s="1"/>
  <c r="L109" i="16"/>
  <c r="F26" i="14"/>
  <c r="F29" i="14" s="1"/>
  <c r="AA27" i="14"/>
  <c r="Q27" i="14"/>
  <c r="E8" i="19"/>
  <c r="E20" i="19" s="1"/>
  <c r="Q105" i="8"/>
  <c r="AE51" i="8"/>
  <c r="G78" i="8"/>
  <c r="U51" i="8"/>
  <c r="L51" i="8"/>
  <c r="Y85" i="8"/>
  <c r="Q109" i="16"/>
  <c r="AA53" i="8"/>
  <c r="AA108" i="8" s="1"/>
  <c r="K87" i="16"/>
  <c r="K94" i="16" s="1"/>
  <c r="K81" i="12" s="1"/>
  <c r="N108" i="16"/>
  <c r="X108" i="16"/>
  <c r="AC109" i="16"/>
  <c r="Y87" i="16"/>
  <c r="Y94" i="16" s="1"/>
  <c r="O87" i="16"/>
  <c r="U78" i="12"/>
  <c r="L112" i="8"/>
  <c r="Y51" i="8"/>
  <c r="S52" i="8"/>
  <c r="S74" i="8" s="1"/>
  <c r="AC52" i="8"/>
  <c r="AC74" i="8" s="1"/>
  <c r="N85" i="8"/>
  <c r="S116" i="16"/>
  <c r="Y109" i="16"/>
  <c r="X109" i="16"/>
  <c r="N109" i="16"/>
  <c r="N116" i="16"/>
  <c r="AJ27" i="19"/>
  <c r="P78" i="12"/>
  <c r="N95" i="8"/>
  <c r="P26" i="14"/>
  <c r="P29" i="14" s="1"/>
  <c r="T87" i="16"/>
  <c r="U87" i="16"/>
  <c r="U94" i="16" s="1"/>
  <c r="V79" i="12"/>
  <c r="Q79" i="12"/>
  <c r="K9" i="19"/>
  <c r="K11" i="19" s="1"/>
  <c r="S8" i="19"/>
  <c r="S11" i="19" s="1"/>
  <c r="AC112" i="8"/>
  <c r="D51" i="8"/>
  <c r="AD51" i="8"/>
  <c r="W53" i="8"/>
  <c r="W108" i="8" s="1"/>
  <c r="S71" i="8"/>
  <c r="AC116" i="16"/>
  <c r="AD109" i="16"/>
  <c r="S109" i="16"/>
  <c r="E79" i="12"/>
  <c r="Z105" i="8"/>
  <c r="L105" i="8"/>
  <c r="T79" i="12"/>
  <c r="J79" i="12"/>
  <c r="AJ65" i="12"/>
  <c r="L78" i="8"/>
  <c r="T51" i="8"/>
  <c r="S85" i="8"/>
  <c r="X116" i="16"/>
  <c r="O95" i="8"/>
  <c r="O71" i="8"/>
  <c r="T95" i="8"/>
  <c r="T71" i="8"/>
  <c r="V51" i="8"/>
  <c r="AA51" i="8"/>
  <c r="O85" i="8"/>
  <c r="AI35" i="14"/>
  <c r="AC95" i="8"/>
  <c r="AC71" i="8"/>
  <c r="X95" i="8"/>
  <c r="X71" i="8"/>
  <c r="P47" i="8"/>
  <c r="P49" i="8" s="1"/>
  <c r="P50" i="8" s="1"/>
  <c r="P51" i="8"/>
  <c r="D26" i="14"/>
  <c r="D29" i="14" s="1"/>
  <c r="K108" i="16"/>
  <c r="U108" i="16"/>
  <c r="AE108" i="16"/>
  <c r="Z108" i="16"/>
  <c r="AI78" i="12"/>
  <c r="AD79" i="12"/>
  <c r="J8" i="19"/>
  <c r="Z95" i="8"/>
  <c r="Z85" i="8"/>
  <c r="U95" i="8"/>
  <c r="U71" i="8"/>
  <c r="P95" i="8"/>
  <c r="P85" i="8"/>
  <c r="AI27" i="14"/>
  <c r="AI26" i="14"/>
  <c r="J47" i="8"/>
  <c r="J49" i="8" s="1"/>
  <c r="J50" i="8" s="1"/>
  <c r="J51" i="8"/>
  <c r="AA78" i="12"/>
  <c r="AA79" i="12"/>
  <c r="U85" i="8"/>
  <c r="AE8" i="19"/>
  <c r="Y95" i="8"/>
  <c r="Y71" i="8"/>
  <c r="Q47" i="8"/>
  <c r="Q49" i="8" s="1"/>
  <c r="Q50" i="8" s="1"/>
  <c r="Q51" i="8"/>
  <c r="X27" i="14"/>
  <c r="X26" i="14"/>
  <c r="AE78" i="12"/>
  <c r="F9" i="19"/>
  <c r="F21" i="19" s="1"/>
  <c r="F8" i="19"/>
  <c r="AE105" i="8"/>
  <c r="AC78" i="8"/>
  <c r="T52" i="8"/>
  <c r="T74" i="8" s="1"/>
  <c r="AD71" i="8"/>
  <c r="U52" i="8"/>
  <c r="U74" i="8" s="1"/>
  <c r="Z78" i="12"/>
  <c r="N8" i="19"/>
  <c r="N11" i="19" s="1"/>
  <c r="T105" i="8"/>
  <c r="U26" i="14"/>
  <c r="U27" i="14"/>
  <c r="L108" i="16"/>
  <c r="V109" i="16"/>
  <c r="P87" i="16"/>
  <c r="X79" i="12"/>
  <c r="X9" i="19"/>
  <c r="X27" i="19" s="1"/>
  <c r="X8" i="19"/>
  <c r="F79" i="12"/>
  <c r="I8" i="19"/>
  <c r="I11" i="19" s="1"/>
  <c r="I35" i="19" s="1"/>
  <c r="K51" i="8"/>
  <c r="AD49" i="8"/>
  <c r="AD50" i="8" s="1"/>
  <c r="F87" i="16"/>
  <c r="F94" i="16" s="1"/>
  <c r="F98" i="16" s="1"/>
  <c r="F66" i="5" s="1"/>
  <c r="W146" i="5"/>
  <c r="W96" i="5"/>
  <c r="W22" i="5"/>
  <c r="W37" i="5"/>
  <c r="X197" i="5"/>
  <c r="X141" i="5"/>
  <c r="X91" i="5"/>
  <c r="N212" i="5"/>
  <c r="N156" i="5"/>
  <c r="N106" i="5"/>
  <c r="N38" i="5"/>
  <c r="N60" i="8"/>
  <c r="S212" i="5"/>
  <c r="S156" i="5"/>
  <c r="S106" i="5"/>
  <c r="S41" i="5"/>
  <c r="H115" i="5"/>
  <c r="H90" i="16"/>
  <c r="M137" i="5"/>
  <c r="M120" i="8" s="1"/>
  <c r="M87" i="5"/>
  <c r="M34" i="19"/>
  <c r="M8" i="19" s="1"/>
  <c r="M27" i="5"/>
  <c r="M22" i="5"/>
  <c r="M107" i="16"/>
  <c r="M16" i="5"/>
  <c r="R180" i="5"/>
  <c r="R110" i="16"/>
  <c r="P79" i="12"/>
  <c r="O78" i="12"/>
  <c r="O53" i="8"/>
  <c r="O108" i="8" s="1"/>
  <c r="O105" i="8"/>
  <c r="S27" i="19"/>
  <c r="K79" i="12"/>
  <c r="AC79" i="12"/>
  <c r="J27" i="19"/>
  <c r="Z79" i="12"/>
  <c r="AE18" i="5"/>
  <c r="AE197" i="5"/>
  <c r="AE91" i="5"/>
  <c r="AE141" i="5"/>
  <c r="Q197" i="5"/>
  <c r="Q91" i="5"/>
  <c r="Q141" i="5"/>
  <c r="Q18" i="5"/>
  <c r="Q41" i="5"/>
  <c r="AC197" i="5"/>
  <c r="AC141" i="5"/>
  <c r="AC91" i="5"/>
  <c r="AC18" i="5"/>
  <c r="AC41" i="5"/>
  <c r="R61" i="8"/>
  <c r="E42" i="5"/>
  <c r="M139" i="5"/>
  <c r="M89" i="5"/>
  <c r="M59" i="8"/>
  <c r="M53" i="8" s="1"/>
  <c r="M108" i="8" s="1"/>
  <c r="M152" i="5"/>
  <c r="M102" i="5"/>
  <c r="L141" i="5"/>
  <c r="L197" i="5"/>
  <c r="L91" i="5"/>
  <c r="L18" i="5"/>
  <c r="E60" i="8"/>
  <c r="E212" i="5"/>
  <c r="E106" i="5"/>
  <c r="E38" i="5"/>
  <c r="K141" i="5"/>
  <c r="K91" i="5"/>
  <c r="K197" i="5"/>
  <c r="M34" i="14"/>
  <c r="M27" i="14" s="1"/>
  <c r="D116" i="16"/>
  <c r="E109" i="16"/>
  <c r="I109" i="16"/>
  <c r="J109" i="16"/>
  <c r="I116" i="16"/>
  <c r="P20" i="19"/>
  <c r="AD8" i="19"/>
  <c r="AD9" i="19"/>
  <c r="AE21" i="19" s="1"/>
  <c r="U105" i="8"/>
  <c r="U53" i="8"/>
  <c r="U108" i="8" s="1"/>
  <c r="N27" i="19"/>
  <c r="S51" i="8"/>
  <c r="X51" i="8"/>
  <c r="J78" i="12"/>
  <c r="AA197" i="5"/>
  <c r="AA141" i="5"/>
  <c r="AA91" i="5"/>
  <c r="AA18" i="5"/>
  <c r="R149" i="5"/>
  <c r="R99" i="5"/>
  <c r="O27" i="14"/>
  <c r="O26" i="14"/>
  <c r="O35" i="14"/>
  <c r="U79" i="12"/>
  <c r="P26" i="19"/>
  <c r="T9" i="19"/>
  <c r="T21" i="19" s="1"/>
  <c r="T8" i="19"/>
  <c r="X212" i="5"/>
  <c r="X156" i="5"/>
  <c r="X106" i="5"/>
  <c r="M115" i="5"/>
  <c r="M165" i="5"/>
  <c r="O79" i="12"/>
  <c r="N41" i="5"/>
  <c r="U197" i="5"/>
  <c r="U141" i="5"/>
  <c r="U91" i="5"/>
  <c r="N26" i="14"/>
  <c r="N27" i="14"/>
  <c r="AI139" i="5"/>
  <c r="AI89" i="5"/>
  <c r="AI16" i="5"/>
  <c r="AI59" i="8"/>
  <c r="M164" i="5"/>
  <c r="M114" i="5"/>
  <c r="M90" i="16"/>
  <c r="W164" i="5"/>
  <c r="W114" i="5"/>
  <c r="AH193" i="5"/>
  <c r="AH137" i="5"/>
  <c r="AH120" i="8" s="1"/>
  <c r="AH121" i="8" s="1"/>
  <c r="AH87" i="5"/>
  <c r="AH36" i="16"/>
  <c r="AH34" i="19"/>
  <c r="AH58" i="8"/>
  <c r="AH100" i="16"/>
  <c r="AH34" i="14"/>
  <c r="Y105" i="8"/>
  <c r="Y53" i="8"/>
  <c r="Y108" i="8" s="1"/>
  <c r="W139" i="5"/>
  <c r="W89" i="5"/>
  <c r="AB59" i="8"/>
  <c r="AB139" i="5"/>
  <c r="AB89" i="5"/>
  <c r="R146" i="5"/>
  <c r="R96" i="5"/>
  <c r="R165" i="5"/>
  <c r="R115" i="5"/>
  <c r="P197" i="5"/>
  <c r="P141" i="5"/>
  <c r="P91" i="5"/>
  <c r="V197" i="5"/>
  <c r="V141" i="5"/>
  <c r="V91" i="5"/>
  <c r="Q60" i="8"/>
  <c r="Q212" i="5"/>
  <c r="Q106" i="5"/>
  <c r="Q156" i="5"/>
  <c r="V60" i="8"/>
  <c r="V212" i="5"/>
  <c r="V156" i="5"/>
  <c r="V106" i="5"/>
  <c r="Z212" i="5"/>
  <c r="Z156" i="5"/>
  <c r="Z106" i="5"/>
  <c r="AB137" i="5"/>
  <c r="AB120" i="8" s="1"/>
  <c r="AB87" i="5"/>
  <c r="AE26" i="14"/>
  <c r="AE29" i="14" s="1"/>
  <c r="E197" i="5"/>
  <c r="E91" i="5"/>
  <c r="I212" i="5"/>
  <c r="I106" i="5"/>
  <c r="I156" i="5"/>
  <c r="G197" i="5"/>
  <c r="G91" i="5"/>
  <c r="D60" i="8"/>
  <c r="D106" i="5"/>
  <c r="L156" i="5"/>
  <c r="L212" i="5"/>
  <c r="L106" i="5"/>
  <c r="G212" i="5"/>
  <c r="G106" i="5"/>
  <c r="M21" i="6"/>
  <c r="R137" i="5"/>
  <c r="R120" i="8" s="1"/>
  <c r="R87" i="5"/>
  <c r="M180" i="5"/>
  <c r="H113" i="5"/>
  <c r="R83" i="16"/>
  <c r="R163" i="5"/>
  <c r="R113" i="5"/>
  <c r="AB83" i="16"/>
  <c r="AB163" i="5"/>
  <c r="AB113" i="5"/>
  <c r="V78" i="12"/>
  <c r="AJ193" i="5"/>
  <c r="AJ137" i="5"/>
  <c r="AJ120" i="8" s="1"/>
  <c r="AJ121" i="8" s="1"/>
  <c r="AJ87" i="5"/>
  <c r="AF236" i="5"/>
  <c r="AF180" i="5"/>
  <c r="W67" i="16"/>
  <c r="W70" i="16" s="1"/>
  <c r="W85" i="16" s="1"/>
  <c r="W171" i="5"/>
  <c r="W121" i="5"/>
  <c r="W152" i="5"/>
  <c r="W102" i="5"/>
  <c r="AB146" i="5"/>
  <c r="AB96" i="5"/>
  <c r="AB171" i="5"/>
  <c r="AB121" i="5"/>
  <c r="R139" i="5"/>
  <c r="R89" i="5"/>
  <c r="AB165" i="5"/>
  <c r="AB115" i="5"/>
  <c r="W165" i="5"/>
  <c r="W115" i="5"/>
  <c r="Z197" i="5"/>
  <c r="Z141" i="5"/>
  <c r="Z91" i="5"/>
  <c r="N197" i="5"/>
  <c r="N141" i="5"/>
  <c r="N91" i="5"/>
  <c r="S197" i="5"/>
  <c r="S141" i="5"/>
  <c r="S91" i="5"/>
  <c r="AD141" i="5"/>
  <c r="AD197" i="5"/>
  <c r="AD91" i="5"/>
  <c r="W99" i="5"/>
  <c r="W149" i="5"/>
  <c r="O212" i="5"/>
  <c r="O156" i="5"/>
  <c r="O106" i="5"/>
  <c r="T60" i="8"/>
  <c r="T156" i="5"/>
  <c r="T106" i="5"/>
  <c r="T212" i="5"/>
  <c r="Y212" i="5"/>
  <c r="Y106" i="5"/>
  <c r="Y156" i="5"/>
  <c r="AA212" i="5"/>
  <c r="AA156" i="5"/>
  <c r="AA106" i="5"/>
  <c r="J212" i="5"/>
  <c r="J156" i="5"/>
  <c r="J106" i="5"/>
  <c r="I197" i="5"/>
  <c r="I91" i="5"/>
  <c r="I141" i="5"/>
  <c r="F197" i="5"/>
  <c r="F91" i="5"/>
  <c r="K156" i="5"/>
  <c r="K106" i="5"/>
  <c r="K212" i="5"/>
  <c r="M171" i="5"/>
  <c r="M121" i="5"/>
  <c r="F212" i="5"/>
  <c r="F106" i="5"/>
  <c r="H67" i="16"/>
  <c r="H70" i="16" s="1"/>
  <c r="H85" i="16" s="1"/>
  <c r="H87" i="16" s="1"/>
  <c r="H121" i="5"/>
  <c r="H58" i="8"/>
  <c r="H87" i="5"/>
  <c r="W180" i="5"/>
  <c r="K49" i="8"/>
  <c r="K50" i="8" s="1"/>
  <c r="M163" i="5"/>
  <c r="M113" i="5"/>
  <c r="W113" i="5"/>
  <c r="W163" i="5"/>
  <c r="S78" i="12"/>
  <c r="AF220" i="5"/>
  <c r="AF164" i="5"/>
  <c r="AF114" i="5"/>
  <c r="W16" i="5"/>
  <c r="AB37" i="5"/>
  <c r="AB152" i="5"/>
  <c r="AB102" i="5"/>
  <c r="AB16" i="5"/>
  <c r="R152" i="5"/>
  <c r="R102" i="5"/>
  <c r="R67" i="16"/>
  <c r="R70" i="16" s="1"/>
  <c r="R85" i="16" s="1"/>
  <c r="R171" i="5"/>
  <c r="R121" i="5"/>
  <c r="Y197" i="5"/>
  <c r="Y91" i="5"/>
  <c r="Y141" i="5"/>
  <c r="O197" i="5"/>
  <c r="O91" i="5"/>
  <c r="O141" i="5"/>
  <c r="T41" i="5"/>
  <c r="T49" i="5" s="1"/>
  <c r="T141" i="5"/>
  <c r="T197" i="5"/>
  <c r="T91" i="5"/>
  <c r="AC212" i="5"/>
  <c r="AC156" i="5"/>
  <c r="AC106" i="5"/>
  <c r="AB149" i="5"/>
  <c r="AB99" i="5"/>
  <c r="P156" i="5"/>
  <c r="P212" i="5"/>
  <c r="P106" i="5"/>
  <c r="U212" i="5"/>
  <c r="U106" i="5"/>
  <c r="U156" i="5"/>
  <c r="Z60" i="8"/>
  <c r="W21" i="6"/>
  <c r="S35" i="14"/>
  <c r="H16" i="5"/>
  <c r="M149" i="5"/>
  <c r="M99" i="5"/>
  <c r="J197" i="5"/>
  <c r="J141" i="5"/>
  <c r="J91" i="5"/>
  <c r="M146" i="5"/>
  <c r="M96" i="5"/>
  <c r="W137" i="5"/>
  <c r="W120" i="8" s="1"/>
  <c r="W87" i="5"/>
  <c r="AB110" i="16"/>
  <c r="AB180" i="5"/>
  <c r="H114" i="5"/>
  <c r="R114" i="5"/>
  <c r="R164" i="5"/>
  <c r="AB164" i="5"/>
  <c r="AB114" i="5"/>
  <c r="S79" i="12"/>
  <c r="AF163" i="5"/>
  <c r="AF113" i="5"/>
  <c r="AI87" i="5"/>
  <c r="AI193" i="5"/>
  <c r="AI137" i="5"/>
  <c r="AF193" i="5"/>
  <c r="AF137" i="5"/>
  <c r="AF120" i="8" s="1"/>
  <c r="AF87" i="5"/>
  <c r="AF221" i="5"/>
  <c r="AF165" i="5"/>
  <c r="AF115" i="5"/>
  <c r="AE23" i="8"/>
  <c r="AL48" i="16"/>
  <c r="F18" i="6"/>
  <c r="F20" i="6"/>
  <c r="I20" i="6"/>
  <c r="I18" i="6"/>
  <c r="L18" i="6"/>
  <c r="L20" i="6"/>
  <c r="M20" i="6" s="1"/>
  <c r="AF18" i="6"/>
  <c r="AF20" i="6"/>
  <c r="AG20" i="6" s="1"/>
  <c r="P60" i="8"/>
  <c r="P38" i="5"/>
  <c r="P41" i="5"/>
  <c r="U60" i="8"/>
  <c r="U38" i="5"/>
  <c r="U41" i="5"/>
  <c r="AE7" i="12"/>
  <c r="AD77" i="16"/>
  <c r="AE31" i="12"/>
  <c r="AF31" i="12" s="1"/>
  <c r="AE34" i="12"/>
  <c r="AF34" i="12" s="1"/>
  <c r="AK11" i="5"/>
  <c r="AF34" i="19"/>
  <c r="AF16" i="5"/>
  <c r="AF18" i="5" s="1"/>
  <c r="AF100" i="16"/>
  <c r="AF77" i="12"/>
  <c r="AA21" i="6"/>
  <c r="AF58" i="8"/>
  <c r="AF71" i="8" s="1"/>
  <c r="AF36" i="16"/>
  <c r="AF8" i="16"/>
  <c r="AG9" i="5"/>
  <c r="AF34" i="14"/>
  <c r="AF90" i="16"/>
  <c r="AG47" i="5"/>
  <c r="AE17" i="14"/>
  <c r="AE35" i="14"/>
  <c r="AD20" i="6"/>
  <c r="AD18" i="6"/>
  <c r="AD18" i="5"/>
  <c r="R37" i="5"/>
  <c r="R27" i="5"/>
  <c r="S38" i="5"/>
  <c r="S60" i="8"/>
  <c r="X60" i="8"/>
  <c r="X38" i="5"/>
  <c r="X41" i="5"/>
  <c r="AC17" i="14"/>
  <c r="X17" i="14"/>
  <c r="Y23" i="14"/>
  <c r="AD17" i="14"/>
  <c r="AD23" i="14"/>
  <c r="AD35" i="14"/>
  <c r="AI17" i="14"/>
  <c r="AC35" i="14"/>
  <c r="AC27" i="14"/>
  <c r="AC26" i="14"/>
  <c r="S27" i="14"/>
  <c r="S26" i="14"/>
  <c r="E27" i="14"/>
  <c r="E26" i="14"/>
  <c r="R90" i="16"/>
  <c r="O18" i="6"/>
  <c r="O20" i="6"/>
  <c r="S20" i="6"/>
  <c r="W18" i="6"/>
  <c r="AA18" i="6"/>
  <c r="AI20" i="6"/>
  <c r="AI18" i="6"/>
  <c r="T23" i="14"/>
  <c r="S17" i="14"/>
  <c r="AE109" i="16"/>
  <c r="AA114" i="16"/>
  <c r="V64" i="16"/>
  <c r="R64" i="16"/>
  <c r="R114" i="16"/>
  <c r="I79" i="12"/>
  <c r="G79" i="12"/>
  <c r="L78" i="12"/>
  <c r="V14" i="14"/>
  <c r="V26" i="14"/>
  <c r="AA14" i="14"/>
  <c r="AB90" i="16"/>
  <c r="W90" i="16"/>
  <c r="I38" i="5"/>
  <c r="I60" i="8"/>
  <c r="J18" i="5"/>
  <c r="H32" i="5"/>
  <c r="H37" i="5"/>
  <c r="H106" i="5" s="1"/>
  <c r="M83" i="16"/>
  <c r="AA41" i="5"/>
  <c r="O23" i="14"/>
  <c r="W34" i="19"/>
  <c r="W77" i="12"/>
  <c r="R21" i="6"/>
  <c r="W107" i="16"/>
  <c r="W100" i="16"/>
  <c r="H110" i="16"/>
  <c r="H61" i="8"/>
  <c r="AD38" i="16"/>
  <c r="AD42" i="16" s="1"/>
  <c r="AD120" i="8"/>
  <c r="K26" i="14"/>
  <c r="K35" i="14"/>
  <c r="K27" i="14"/>
  <c r="D35" i="14"/>
  <c r="I17" i="14"/>
  <c r="E23" i="14"/>
  <c r="L81" i="16"/>
  <c r="AJ78" i="12"/>
  <c r="AJ79" i="12"/>
  <c r="AD59" i="8"/>
  <c r="AJ36" i="16"/>
  <c r="AE21" i="6"/>
  <c r="Z72" i="8"/>
  <c r="D18" i="6"/>
  <c r="AB18" i="6"/>
  <c r="M32" i="5"/>
  <c r="M37" i="5"/>
  <c r="L41" i="5"/>
  <c r="M67" i="16"/>
  <c r="M70" i="16" s="1"/>
  <c r="M85" i="16" s="1"/>
  <c r="M8" i="16"/>
  <c r="M100" i="16"/>
  <c r="M58" i="8"/>
  <c r="H21" i="6"/>
  <c r="M77" i="12"/>
  <c r="I35" i="14"/>
  <c r="I27" i="14"/>
  <c r="I29" i="14" s="1"/>
  <c r="Y79" i="12"/>
  <c r="Y78" i="12"/>
  <c r="T78" i="12"/>
  <c r="L79" i="12"/>
  <c r="K78" i="12"/>
  <c r="AI9" i="19"/>
  <c r="AN27" i="19" s="1"/>
  <c r="AI8" i="19"/>
  <c r="AN26" i="19" s="1"/>
  <c r="N88" i="8"/>
  <c r="S88" i="8"/>
  <c r="S87" i="8"/>
  <c r="X88" i="8"/>
  <c r="X87" i="8"/>
  <c r="AC87" i="8"/>
  <c r="AC88" i="8"/>
  <c r="K105" i="8"/>
  <c r="U98" i="8"/>
  <c r="AC98" i="8"/>
  <c r="AC87" i="16"/>
  <c r="K41" i="5"/>
  <c r="K18" i="5"/>
  <c r="W110" i="16"/>
  <c r="J17" i="14"/>
  <c r="K23" i="14"/>
  <c r="J35" i="14"/>
  <c r="T64" i="16"/>
  <c r="T89" i="16"/>
  <c r="AD113" i="16"/>
  <c r="AI114" i="16" s="1"/>
  <c r="AE11" i="12"/>
  <c r="AE113" i="16" s="1"/>
  <c r="AJ114" i="16" s="1"/>
  <c r="Z26" i="19"/>
  <c r="J27" i="14"/>
  <c r="J29" i="14" s="1"/>
  <c r="Q78" i="12"/>
  <c r="Q73" i="8"/>
  <c r="AA73" i="8"/>
  <c r="N87" i="8"/>
  <c r="T98" i="8"/>
  <c r="X106" i="8"/>
  <c r="Y107" i="8"/>
  <c r="X107" i="8"/>
  <c r="N79" i="12"/>
  <c r="AC21" i="6"/>
  <c r="Y73" i="8"/>
  <c r="Y72" i="8"/>
  <c r="U73" i="8"/>
  <c r="V73" i="8"/>
  <c r="U72" i="8"/>
  <c r="K87" i="8"/>
  <c r="AD106" i="8"/>
  <c r="AD107" i="8"/>
  <c r="AD119" i="8"/>
  <c r="Y119" i="8"/>
  <c r="Y121" i="8" s="1"/>
  <c r="Z98" i="8"/>
  <c r="AD72" i="8"/>
  <c r="U88" i="8"/>
  <c r="I87" i="8"/>
  <c r="I88" i="8"/>
  <c r="AE72" i="8"/>
  <c r="AE73" i="8"/>
  <c r="AE71" i="8"/>
  <c r="AD73" i="8"/>
  <c r="AC97" i="8"/>
  <c r="S97" i="8"/>
  <c r="N97" i="8"/>
  <c r="AC107" i="8"/>
  <c r="AE79" i="8"/>
  <c r="AA107" i="8"/>
  <c r="AA106" i="8"/>
  <c r="AC119" i="8"/>
  <c r="AC121" i="8" s="1"/>
  <c r="P98" i="8"/>
  <c r="AE97" i="8"/>
  <c r="R26" i="6"/>
  <c r="W32" i="6"/>
  <c r="M28" i="6"/>
  <c r="H28" i="6"/>
  <c r="D26" i="6"/>
  <c r="N34" i="6"/>
  <c r="T26" i="6"/>
  <c r="K32" i="6"/>
  <c r="E34" i="6"/>
  <c r="K26" i="6"/>
  <c r="L30" i="6"/>
  <c r="M26" i="6"/>
  <c r="L28" i="6"/>
  <c r="O28" i="6"/>
  <c r="R36" i="6"/>
  <c r="F32" i="6"/>
  <c r="M34" i="6"/>
  <c r="U30" i="6"/>
  <c r="D30" i="6"/>
  <c r="T34" i="6"/>
  <c r="S36" i="6"/>
  <c r="O30" i="6"/>
  <c r="M30" i="6"/>
  <c r="H36" i="6"/>
  <c r="V30" i="6"/>
  <c r="N26" i="6"/>
  <c r="G34" i="6"/>
  <c r="Q32" i="6"/>
  <c r="K34" i="6"/>
  <c r="E32" i="6"/>
  <c r="Q34" i="6"/>
  <c r="P36" i="6"/>
  <c r="I36" i="6"/>
  <c r="G26" i="6"/>
  <c r="V32" i="6"/>
  <c r="H30" i="6"/>
  <c r="K28" i="6"/>
  <c r="I28" i="6"/>
  <c r="G30" i="6"/>
  <c r="F36" i="6"/>
  <c r="D32" i="6"/>
  <c r="J30" i="6"/>
  <c r="R32" i="6"/>
  <c r="V36" i="6"/>
  <c r="U26" i="6"/>
  <c r="J36" i="6"/>
  <c r="I32" i="6"/>
  <c r="W34" i="6"/>
  <c r="F28" i="6"/>
  <c r="W36" i="6"/>
  <c r="R30" i="6"/>
  <c r="S26" i="6"/>
  <c r="F34" i="6"/>
  <c r="O26" i="6"/>
  <c r="W28" i="6"/>
  <c r="N28" i="6"/>
  <c r="E26" i="6"/>
  <c r="S34" i="6"/>
  <c r="K30" i="6"/>
  <c r="M32" i="6"/>
  <c r="Q26" i="6"/>
  <c r="P32" i="6"/>
  <c r="S28" i="6"/>
  <c r="F26" i="6"/>
  <c r="I34" i="6"/>
  <c r="T32" i="6"/>
  <c r="T36" i="6"/>
  <c r="S30" i="6"/>
  <c r="G36" i="6"/>
  <c r="I26" i="6"/>
  <c r="P30" i="6"/>
  <c r="R34" i="6"/>
  <c r="O32" i="6"/>
  <c r="E28" i="6"/>
  <c r="T30" i="6"/>
  <c r="M36" i="6"/>
  <c r="H34" i="6"/>
  <c r="O34" i="6"/>
  <c r="I30" i="6"/>
  <c r="W30" i="6"/>
  <c r="L34" i="6"/>
  <c r="T28" i="6"/>
  <c r="J32" i="6"/>
  <c r="J26" i="6"/>
  <c r="U28" i="6"/>
  <c r="O36" i="6"/>
  <c r="S32" i="6"/>
  <c r="V34" i="6"/>
  <c r="U32" i="6"/>
  <c r="D36" i="6"/>
  <c r="Q28" i="6"/>
  <c r="D28" i="6"/>
  <c r="V26" i="6"/>
  <c r="N30" i="6"/>
  <c r="U36" i="6"/>
  <c r="L36" i="6"/>
  <c r="Q36" i="6"/>
  <c r="J28" i="6"/>
  <c r="E36" i="6"/>
  <c r="F30" i="6"/>
  <c r="U34" i="6"/>
  <c r="L26" i="6"/>
  <c r="K36" i="6"/>
  <c r="L32" i="6"/>
  <c r="N22" i="6"/>
  <c r="J22" i="6"/>
  <c r="I22" i="6"/>
  <c r="AH22" i="6"/>
  <c r="Z22" i="6"/>
  <c r="AO22" i="6"/>
  <c r="AC22" i="6"/>
  <c r="X22" i="6"/>
  <c r="L22" i="6"/>
  <c r="S22" i="6"/>
  <c r="R22" i="6"/>
  <c r="T22" i="6"/>
  <c r="AA22" i="6"/>
  <c r="P22" i="6"/>
  <c r="AD22" i="6"/>
  <c r="Y22" i="6"/>
  <c r="U22" i="6"/>
  <c r="V22" i="6"/>
  <c r="W22" i="6"/>
  <c r="E22" i="6"/>
  <c r="H22" i="6"/>
  <c r="AI22" i="6"/>
  <c r="F22" i="6"/>
  <c r="G22" i="6"/>
  <c r="Q22" i="6"/>
  <c r="D22" i="6"/>
  <c r="AM22" i="6"/>
  <c r="AJ22" i="6"/>
  <c r="K22" i="6"/>
  <c r="AS22" i="6"/>
  <c r="M22" i="6"/>
  <c r="O22" i="6"/>
  <c r="AK22" i="6"/>
  <c r="AE22" i="6"/>
  <c r="E109" i="5" l="1"/>
  <c r="AE78" i="8"/>
  <c r="AF23" i="14"/>
  <c r="R26" i="14"/>
  <c r="R29" i="14" s="1"/>
  <c r="R35" i="14"/>
  <c r="Q23" i="14"/>
  <c r="R71" i="8"/>
  <c r="R85" i="8"/>
  <c r="R52" i="8"/>
  <c r="R74" i="8" s="1"/>
  <c r="Y109" i="5"/>
  <c r="G49" i="5"/>
  <c r="G50" i="5" s="1"/>
  <c r="G109" i="5"/>
  <c r="AB106" i="8"/>
  <c r="AA35" i="14"/>
  <c r="R8" i="19"/>
  <c r="R11" i="19" s="1"/>
  <c r="R35" i="19" s="1"/>
  <c r="S23" i="14"/>
  <c r="L23" i="14"/>
  <c r="L35" i="14"/>
  <c r="F109" i="5"/>
  <c r="Q17" i="14"/>
  <c r="V17" i="14"/>
  <c r="R18" i="5"/>
  <c r="M47" i="8"/>
  <c r="M49" i="8" s="1"/>
  <c r="M50" i="8" s="1"/>
  <c r="O49" i="5"/>
  <c r="O117" i="5" s="1"/>
  <c r="O42" i="5"/>
  <c r="V69" i="12"/>
  <c r="AX116" i="16"/>
  <c r="AX162" i="16"/>
  <c r="AX163" i="16" s="1"/>
  <c r="V35" i="14"/>
  <c r="V23" i="14"/>
  <c r="G215" i="5"/>
  <c r="AB49" i="8"/>
  <c r="AB50" i="8" s="1"/>
  <c r="AG163" i="5"/>
  <c r="F215" i="5"/>
  <c r="O159" i="5"/>
  <c r="F49" i="5"/>
  <c r="F117" i="5" s="1"/>
  <c r="Z109" i="5"/>
  <c r="AE106" i="5"/>
  <c r="AE156" i="5"/>
  <c r="W52" i="19"/>
  <c r="AX71" i="8"/>
  <c r="AX95" i="8"/>
  <c r="AX85" i="8"/>
  <c r="AX38" i="16"/>
  <c r="AX42" i="16" s="1"/>
  <c r="AX120" i="8"/>
  <c r="AX121" i="8" s="1"/>
  <c r="AY107" i="16"/>
  <c r="AY8" i="16"/>
  <c r="AY77" i="12"/>
  <c r="AX21" i="6"/>
  <c r="M52" i="19"/>
  <c r="H49" i="19"/>
  <c r="H50" i="19"/>
  <c r="H70" i="19"/>
  <c r="AG17" i="16"/>
  <c r="AG21" i="16" s="1"/>
  <c r="AG7" i="5" s="1"/>
  <c r="AG69" i="19"/>
  <c r="AB54" i="8"/>
  <c r="Y50" i="5"/>
  <c r="AB21" i="16"/>
  <c r="AB7" i="5" s="1"/>
  <c r="R49" i="19"/>
  <c r="R70" i="19"/>
  <c r="R50" i="19"/>
  <c r="AB50" i="19"/>
  <c r="AB70" i="19"/>
  <c r="AB49" i="19"/>
  <c r="BC69" i="19"/>
  <c r="BC34" i="14"/>
  <c r="BC17" i="16"/>
  <c r="BC107" i="16"/>
  <c r="BC77" i="12"/>
  <c r="BC36" i="16"/>
  <c r="BC8" i="16"/>
  <c r="BC34" i="19"/>
  <c r="BC100" i="16"/>
  <c r="BC58" i="8"/>
  <c r="BC87" i="5"/>
  <c r="BC113" i="5"/>
  <c r="BC137" i="5"/>
  <c r="BC120" i="8" s="1"/>
  <c r="BC121" i="8" s="1"/>
  <c r="BC114" i="5"/>
  <c r="AY137" i="5"/>
  <c r="AY120" i="8" s="1"/>
  <c r="AY121" i="8" s="1"/>
  <c r="AX108" i="16"/>
  <c r="AX78" i="12"/>
  <c r="AX9" i="19"/>
  <c r="AX27" i="19" s="1"/>
  <c r="AB26" i="14"/>
  <c r="AB27" i="14"/>
  <c r="AW15" i="14"/>
  <c r="AR15" i="14"/>
  <c r="AR11" i="14"/>
  <c r="AR35" i="14" s="1"/>
  <c r="AU9" i="14"/>
  <c r="AR21" i="14"/>
  <c r="AR95" i="8"/>
  <c r="AR71" i="8"/>
  <c r="AR85" i="8"/>
  <c r="AP71" i="8"/>
  <c r="AP85" i="8"/>
  <c r="AP8" i="19"/>
  <c r="AP9" i="19" s="1"/>
  <c r="AQ9" i="19" s="1"/>
  <c r="AX27" i="14"/>
  <c r="AY113" i="5"/>
  <c r="AR9" i="19"/>
  <c r="AS52" i="19"/>
  <c r="AY34" i="19"/>
  <c r="AY8" i="19" s="1"/>
  <c r="AY58" i="8"/>
  <c r="AX65" i="12"/>
  <c r="AY34" i="14"/>
  <c r="AY27" i="14" s="1"/>
  <c r="AY17" i="16"/>
  <c r="AY11" i="5"/>
  <c r="AY87" i="5"/>
  <c r="AY193" i="5"/>
  <c r="AY100" i="16"/>
  <c r="AY36" i="16"/>
  <c r="AX26" i="14"/>
  <c r="AX26" i="19"/>
  <c r="AR52" i="19"/>
  <c r="AQ17" i="16"/>
  <c r="AQ69" i="19"/>
  <c r="AX50" i="19"/>
  <c r="AX70" i="19"/>
  <c r="AX49" i="19"/>
  <c r="AU69" i="19"/>
  <c r="AT50" i="19"/>
  <c r="AT49" i="19"/>
  <c r="AT70" i="19"/>
  <c r="AT21" i="6"/>
  <c r="AY69" i="19"/>
  <c r="AP49" i="19"/>
  <c r="AP50" i="19"/>
  <c r="AP70" i="19"/>
  <c r="AB105" i="8"/>
  <c r="W41" i="8"/>
  <c r="W45" i="8" s="1"/>
  <c r="AG30" i="8"/>
  <c r="AF32" i="8"/>
  <c r="AF41" i="8" s="1"/>
  <c r="W119" i="8"/>
  <c r="W121" i="8" s="1"/>
  <c r="R119" i="8"/>
  <c r="R121" i="8" s="1"/>
  <c r="AW18" i="16"/>
  <c r="AX19" i="16" s="1"/>
  <c r="AW45" i="16"/>
  <c r="AA69" i="12"/>
  <c r="AE65" i="12"/>
  <c r="AE83" i="8"/>
  <c r="AE88" i="8" s="1"/>
  <c r="AD58" i="12"/>
  <c r="AD95" i="8"/>
  <c r="AF30" i="12"/>
  <c r="AE38" i="12"/>
  <c r="AE77" i="16"/>
  <c r="AE87" i="16" s="1"/>
  <c r="AE27" i="12"/>
  <c r="X65" i="8"/>
  <c r="AS11" i="19"/>
  <c r="R141" i="5"/>
  <c r="Z49" i="5"/>
  <c r="Z54" i="5" s="1"/>
  <c r="AE112" i="8"/>
  <c r="H9" i="19"/>
  <c r="H11" i="19" s="1"/>
  <c r="H35" i="19" s="1"/>
  <c r="AX52" i="8"/>
  <c r="AX74" i="8" s="1"/>
  <c r="AE38" i="5"/>
  <c r="AE41" i="5"/>
  <c r="AE159" i="5" s="1"/>
  <c r="AS79" i="12"/>
  <c r="R21" i="16"/>
  <c r="R7" i="5" s="1"/>
  <c r="M21" i="16"/>
  <c r="W21" i="16"/>
  <c r="W7" i="5" s="1"/>
  <c r="AA78" i="8"/>
  <c r="L29" i="14"/>
  <c r="AS26" i="19"/>
  <c r="S71" i="12"/>
  <c r="S68" i="5" s="1"/>
  <c r="AA71" i="12"/>
  <c r="AA68" i="5" s="1"/>
  <c r="S67" i="5"/>
  <c r="AB119" i="8"/>
  <c r="AB121" i="8" s="1"/>
  <c r="I19" i="16"/>
  <c r="I21" i="16" s="1"/>
  <c r="G21" i="16"/>
  <c r="G24" i="16" s="1"/>
  <c r="N19" i="16"/>
  <c r="N21" i="16" s="1"/>
  <c r="N7" i="5" s="1"/>
  <c r="O192" i="5" s="1"/>
  <c r="L21" i="16"/>
  <c r="AU34" i="19"/>
  <c r="AU8" i="19" s="1"/>
  <c r="AU9" i="19" s="1"/>
  <c r="AU17" i="16"/>
  <c r="P136" i="5"/>
  <c r="P86" i="5"/>
  <c r="P192" i="5"/>
  <c r="O136" i="5"/>
  <c r="O86" i="5"/>
  <c r="AT20" i="19"/>
  <c r="AT26" i="19"/>
  <c r="AO14" i="14"/>
  <c r="AJ20" i="14"/>
  <c r="AK8" i="14"/>
  <c r="AJ14" i="14"/>
  <c r="AJ11" i="14"/>
  <c r="AO15" i="14"/>
  <c r="AK9" i="14"/>
  <c r="AJ15" i="14"/>
  <c r="AJ21" i="14"/>
  <c r="AQ19" i="8"/>
  <c r="AQ14" i="8"/>
  <c r="AS38" i="12"/>
  <c r="AR38" i="16"/>
  <c r="AR42" i="16" s="1"/>
  <c r="AT78" i="12"/>
  <c r="AT79" i="12"/>
  <c r="AS52" i="8"/>
  <c r="AS74" i="8" s="1"/>
  <c r="AU8" i="16"/>
  <c r="AU58" i="8"/>
  <c r="AU100" i="16"/>
  <c r="AU77" i="12"/>
  <c r="AU34" i="14"/>
  <c r="AU36" i="16"/>
  <c r="AP21" i="6"/>
  <c r="AU87" i="5"/>
  <c r="AU137" i="5"/>
  <c r="AU120" i="8" s="1"/>
  <c r="AU121" i="8" s="1"/>
  <c r="AU193" i="5"/>
  <c r="AV9" i="5"/>
  <c r="AS89" i="16"/>
  <c r="AR26" i="14"/>
  <c r="AR27" i="14"/>
  <c r="AT38" i="16"/>
  <c r="AT42" i="16" s="1"/>
  <c r="AS65" i="12"/>
  <c r="AR79" i="12"/>
  <c r="AR78" i="12"/>
  <c r="AT27" i="14"/>
  <c r="AT26" i="14"/>
  <c r="AI105" i="8"/>
  <c r="AI38" i="16"/>
  <c r="AI42" i="16" s="1"/>
  <c r="AI120" i="8"/>
  <c r="AI121" i="8" s="1"/>
  <c r="AI18" i="5"/>
  <c r="AE95" i="8"/>
  <c r="R68" i="12"/>
  <c r="R67" i="5" s="1"/>
  <c r="M61" i="12"/>
  <c r="N60" i="12" s="1"/>
  <c r="N61" i="12" s="1"/>
  <c r="O60" i="12" s="1"/>
  <c r="O61" i="12" s="1"/>
  <c r="P60" i="12" s="1"/>
  <c r="P61" i="12" s="1"/>
  <c r="Q60" i="12" s="1"/>
  <c r="Q61" i="12" s="1"/>
  <c r="S60" i="12" s="1"/>
  <c r="W68" i="12"/>
  <c r="W65" i="8" s="1"/>
  <c r="AF47" i="12"/>
  <c r="AF66" i="12" s="1"/>
  <c r="AE66" i="12"/>
  <c r="O78" i="8"/>
  <c r="Q29" i="14"/>
  <c r="AD106" i="5"/>
  <c r="AD156" i="5"/>
  <c r="AD41" i="5"/>
  <c r="AD215" i="5" s="1"/>
  <c r="AD60" i="8"/>
  <c r="AD78" i="8" s="1"/>
  <c r="AD212" i="5"/>
  <c r="AG107" i="16"/>
  <c r="AG116" i="16" s="1"/>
  <c r="AH95" i="8"/>
  <c r="AH71" i="8"/>
  <c r="AH85" i="8"/>
  <c r="AL21" i="6"/>
  <c r="O94" i="16"/>
  <c r="O97" i="16" s="1"/>
  <c r="AF35" i="12"/>
  <c r="AF121" i="8"/>
  <c r="M33" i="7"/>
  <c r="G87" i="16"/>
  <c r="G94" i="16" s="1"/>
  <c r="G98" i="16" s="1"/>
  <c r="G66" i="5" s="1"/>
  <c r="AF11" i="12"/>
  <c r="AF7" i="12"/>
  <c r="W98" i="8"/>
  <c r="AG45" i="16"/>
  <c r="AG116" i="8"/>
  <c r="AG119" i="8" s="1"/>
  <c r="AG126" i="8"/>
  <c r="AG123" i="8"/>
  <c r="H71" i="12"/>
  <c r="H68" i="5" s="1"/>
  <c r="AD63" i="8"/>
  <c r="J42" i="5"/>
  <c r="Q87" i="16"/>
  <c r="Q94" i="16" s="1"/>
  <c r="Q81" i="12" s="1"/>
  <c r="AH180" i="5"/>
  <c r="Y42" i="5"/>
  <c r="Y117" i="5"/>
  <c r="I109" i="5"/>
  <c r="J49" i="5"/>
  <c r="J167" i="5" s="1"/>
  <c r="J109" i="5"/>
  <c r="I215" i="5"/>
  <c r="AB95" i="8"/>
  <c r="Y215" i="5"/>
  <c r="I49" i="5"/>
  <c r="I56" i="5" s="1"/>
  <c r="J159" i="5"/>
  <c r="J215" i="5"/>
  <c r="H35" i="14"/>
  <c r="AB85" i="8"/>
  <c r="Z215" i="5"/>
  <c r="E56" i="5"/>
  <c r="E124" i="5" s="1"/>
  <c r="Z69" i="12"/>
  <c r="AH164" i="5"/>
  <c r="T65" i="8"/>
  <c r="T69" i="12"/>
  <c r="T70" i="12"/>
  <c r="T67" i="5"/>
  <c r="T71" i="12"/>
  <c r="T68" i="5" s="1"/>
  <c r="O50" i="7"/>
  <c r="Y78" i="8"/>
  <c r="G23" i="14"/>
  <c r="I23" i="14"/>
  <c r="Z71" i="12"/>
  <c r="Z68" i="5" s="1"/>
  <c r="AH220" i="5"/>
  <c r="P50" i="7"/>
  <c r="X71" i="12"/>
  <c r="X68" i="5" s="1"/>
  <c r="Y56" i="5"/>
  <c r="Y124" i="5" s="1"/>
  <c r="AB71" i="8"/>
  <c r="M119" i="8"/>
  <c r="M121" i="8" s="1"/>
  <c r="G35" i="14"/>
  <c r="AH114" i="5"/>
  <c r="V215" i="5"/>
  <c r="X70" i="12"/>
  <c r="I50" i="7"/>
  <c r="AA94" i="16"/>
  <c r="AA81" i="12" s="1"/>
  <c r="J50" i="7"/>
  <c r="L12" i="16"/>
  <c r="Q14" i="16" s="1"/>
  <c r="AB9" i="19"/>
  <c r="AB11" i="19" s="1"/>
  <c r="AB35" i="19" s="1"/>
  <c r="W12" i="16"/>
  <c r="W131" i="8" s="1"/>
  <c r="R10" i="16"/>
  <c r="R12" i="16" s="1"/>
  <c r="R131" i="8" s="1"/>
  <c r="R133" i="8" s="1"/>
  <c r="AF17" i="14"/>
  <c r="AA17" i="14"/>
  <c r="AA23" i="14"/>
  <c r="L17" i="14"/>
  <c r="AH61" i="8"/>
  <c r="H12" i="16"/>
  <c r="H86" i="5" s="1"/>
  <c r="AB98" i="8"/>
  <c r="O15" i="16"/>
  <c r="M98" i="8"/>
  <c r="U131" i="8"/>
  <c r="AC131" i="8"/>
  <c r="AD131" i="8"/>
  <c r="AE134" i="8" s="1"/>
  <c r="Z131" i="8"/>
  <c r="AE133" i="8" s="1"/>
  <c r="V131" i="8"/>
  <c r="X134" i="8" s="1"/>
  <c r="S131" i="8"/>
  <c r="X133" i="8" s="1"/>
  <c r="AA131" i="8"/>
  <c r="T131" i="8"/>
  <c r="Y133" i="8" s="1"/>
  <c r="Q131" i="8"/>
  <c r="Y134" i="8"/>
  <c r="P71" i="12"/>
  <c r="P68" i="5" s="1"/>
  <c r="P65" i="8"/>
  <c r="X69" i="12"/>
  <c r="O67" i="5"/>
  <c r="O65" i="8"/>
  <c r="Z67" i="5"/>
  <c r="Z65" i="8"/>
  <c r="Y67" i="5"/>
  <c r="Y65" i="8"/>
  <c r="V70" i="12"/>
  <c r="U65" i="8"/>
  <c r="AC70" i="12"/>
  <c r="AC65" i="8"/>
  <c r="M67" i="5"/>
  <c r="M65" i="8"/>
  <c r="AB67" i="5"/>
  <c r="AB65" i="8"/>
  <c r="AA67" i="5"/>
  <c r="AA65" i="8"/>
  <c r="Q71" i="12"/>
  <c r="Q68" i="5" s="1"/>
  <c r="Q65" i="8"/>
  <c r="V67" i="5"/>
  <c r="V65" i="8"/>
  <c r="Y159" i="5"/>
  <c r="K15" i="16"/>
  <c r="AO29" i="14"/>
  <c r="AM29" i="14"/>
  <c r="AB12" i="16"/>
  <c r="W87" i="16"/>
  <c r="W94" i="16" s="1"/>
  <c r="W65" i="5" s="1"/>
  <c r="E15" i="16"/>
  <c r="AQ36" i="16"/>
  <c r="AQ100" i="16"/>
  <c r="AQ34" i="19"/>
  <c r="AQ8" i="16"/>
  <c r="AQ77" i="12"/>
  <c r="AQ34" i="14"/>
  <c r="AQ58" i="8"/>
  <c r="AQ87" i="5"/>
  <c r="AP27" i="14"/>
  <c r="AP26" i="14"/>
  <c r="AP35" i="14"/>
  <c r="E215" i="5"/>
  <c r="AO52" i="8"/>
  <c r="AO74" i="8" s="1"/>
  <c r="AM78" i="12"/>
  <c r="V159" i="5"/>
  <c r="D81" i="12"/>
  <c r="I82" i="12" s="1"/>
  <c r="AE15" i="16"/>
  <c r="AM65" i="12"/>
  <c r="AN35" i="19"/>
  <c r="AN21" i="19"/>
  <c r="D109" i="5"/>
  <c r="D49" i="5"/>
  <c r="E223" i="5" s="1"/>
  <c r="AO26" i="19"/>
  <c r="AO20" i="19"/>
  <c r="AO11" i="19"/>
  <c r="AB38" i="16"/>
  <c r="AB42" i="16" s="1"/>
  <c r="H41" i="5"/>
  <c r="H109" i="5" s="1"/>
  <c r="V109" i="5"/>
  <c r="AM52" i="8"/>
  <c r="AM74" i="8" s="1"/>
  <c r="AO21" i="19"/>
  <c r="AO27" i="19"/>
  <c r="I159" i="5"/>
  <c r="AM11" i="19"/>
  <c r="AN20" i="19"/>
  <c r="AP38" i="16"/>
  <c r="AP79" i="12"/>
  <c r="AO89" i="16"/>
  <c r="AO64" i="16"/>
  <c r="AH9" i="16"/>
  <c r="AH12" i="16" s="1"/>
  <c r="AH131" i="8" s="1"/>
  <c r="R97" i="8"/>
  <c r="AB88" i="8"/>
  <c r="AE45" i="8"/>
  <c r="AE54" i="8" s="1"/>
  <c r="AE49" i="8"/>
  <c r="AE50" i="8" s="1"/>
  <c r="AG47" i="16"/>
  <c r="AG51" i="16" s="1"/>
  <c r="AG37" i="8"/>
  <c r="AL8" i="8"/>
  <c r="AG9" i="16"/>
  <c r="AL10" i="16" s="1"/>
  <c r="V14" i="16"/>
  <c r="Y15" i="16"/>
  <c r="AD14" i="16"/>
  <c r="M106" i="8"/>
  <c r="W49" i="8"/>
  <c r="W50" i="8" s="1"/>
  <c r="O14" i="16"/>
  <c r="AL68" i="16"/>
  <c r="AB87" i="16"/>
  <c r="AB94" i="16" s="1"/>
  <c r="AB98" i="16" s="1"/>
  <c r="AB66" i="5" s="1"/>
  <c r="Z94" i="16"/>
  <c r="Z98" i="16" s="1"/>
  <c r="Z66" i="5" s="1"/>
  <c r="L87" i="16"/>
  <c r="L94" i="16" s="1"/>
  <c r="L97" i="16" s="1"/>
  <c r="W88" i="8"/>
  <c r="P14" i="16"/>
  <c r="Q15" i="16"/>
  <c r="K14" i="16"/>
  <c r="T14" i="16"/>
  <c r="P15" i="16"/>
  <c r="Y14" i="16"/>
  <c r="S15" i="16"/>
  <c r="AI89" i="16"/>
  <c r="Z15" i="16"/>
  <c r="AI64" i="16"/>
  <c r="J14" i="16"/>
  <c r="AM42" i="16"/>
  <c r="AQ48" i="16"/>
  <c r="AF12" i="16"/>
  <c r="AF131" i="8" s="1"/>
  <c r="U71" i="12"/>
  <c r="U68" i="5" s="1"/>
  <c r="AD85" i="8"/>
  <c r="U69" i="12"/>
  <c r="AC67" i="5"/>
  <c r="U67" i="5"/>
  <c r="S70" i="12"/>
  <c r="U70" i="12"/>
  <c r="AC69" i="12"/>
  <c r="AC71" i="12"/>
  <c r="AC68" i="5" s="1"/>
  <c r="AB71" i="12"/>
  <c r="AB68" i="5" s="1"/>
  <c r="AA70" i="12"/>
  <c r="P70" i="12"/>
  <c r="P67" i="5"/>
  <c r="N67" i="5"/>
  <c r="O70" i="12"/>
  <c r="Y69" i="12"/>
  <c r="Z70" i="12"/>
  <c r="S69" i="12"/>
  <c r="AC94" i="16"/>
  <c r="AC65" i="5" s="1"/>
  <c r="Y70" i="12"/>
  <c r="P94" i="16"/>
  <c r="P65" i="5" s="1"/>
  <c r="V94" i="16"/>
  <c r="V98" i="16" s="1"/>
  <c r="V66" i="5" s="1"/>
  <c r="S94" i="16"/>
  <c r="S98" i="16" s="1"/>
  <c r="S66" i="5" s="1"/>
  <c r="N71" i="12"/>
  <c r="N68" i="5" s="1"/>
  <c r="Y71" i="12"/>
  <c r="Y68" i="5" s="1"/>
  <c r="AG54" i="12"/>
  <c r="AG58" i="12" s="1"/>
  <c r="G85" i="8"/>
  <c r="Q67" i="5"/>
  <c r="Q70" i="12"/>
  <c r="H67" i="5"/>
  <c r="M69" i="12"/>
  <c r="F15" i="16"/>
  <c r="AC15" i="16"/>
  <c r="AE14" i="16"/>
  <c r="AD15" i="16"/>
  <c r="U14" i="16"/>
  <c r="AA15" i="16"/>
  <c r="AA14" i="16"/>
  <c r="T15" i="16"/>
  <c r="AC14" i="16"/>
  <c r="X15" i="16"/>
  <c r="U15" i="16"/>
  <c r="X14" i="16"/>
  <c r="G9" i="16"/>
  <c r="M10" i="16"/>
  <c r="M12" i="16" s="1"/>
  <c r="R106" i="8"/>
  <c r="W106" i="8"/>
  <c r="Z14" i="16"/>
  <c r="V15" i="16"/>
  <c r="AH33" i="5"/>
  <c r="AF33" i="5"/>
  <c r="AF28" i="5"/>
  <c r="AG10" i="5"/>
  <c r="N65" i="5"/>
  <c r="N81" i="12"/>
  <c r="N82" i="12" s="1"/>
  <c r="W27" i="14"/>
  <c r="W29" i="14" s="1"/>
  <c r="P21" i="19"/>
  <c r="U27" i="19"/>
  <c r="D98" i="16"/>
  <c r="D66" i="5" s="1"/>
  <c r="W52" i="8"/>
  <c r="W74" i="8" s="1"/>
  <c r="I26" i="19"/>
  <c r="T20" i="19"/>
  <c r="F20" i="19"/>
  <c r="Z20" i="19"/>
  <c r="T29" i="14"/>
  <c r="AD87" i="16"/>
  <c r="J26" i="19"/>
  <c r="X65" i="5"/>
  <c r="E11" i="19"/>
  <c r="E35" i="19" s="1"/>
  <c r="P29" i="19"/>
  <c r="U65" i="5"/>
  <c r="U81" i="12"/>
  <c r="Z27" i="19"/>
  <c r="V29" i="14"/>
  <c r="H94" i="16"/>
  <c r="H81" i="12" s="1"/>
  <c r="AA29" i="14"/>
  <c r="Z11" i="19"/>
  <c r="Z23" i="19" s="1"/>
  <c r="S14" i="16"/>
  <c r="W71" i="8"/>
  <c r="W85" i="8"/>
  <c r="AE27" i="19"/>
  <c r="J98" i="16"/>
  <c r="J66" i="5" s="1"/>
  <c r="AC27" i="19"/>
  <c r="O27" i="19"/>
  <c r="G29" i="14"/>
  <c r="E65" i="5"/>
  <c r="E97" i="16"/>
  <c r="E81" i="12"/>
  <c r="E98" i="16"/>
  <c r="E66" i="5" s="1"/>
  <c r="AG180" i="5"/>
  <c r="AG61" i="8"/>
  <c r="AH23" i="5"/>
  <c r="AI23" i="5"/>
  <c r="AF23" i="5"/>
  <c r="D11" i="19"/>
  <c r="I29" i="19" s="1"/>
  <c r="X98" i="16"/>
  <c r="X66" i="5" s="1"/>
  <c r="I27" i="19"/>
  <c r="V50" i="5"/>
  <c r="V54" i="5"/>
  <c r="V56" i="5"/>
  <c r="W35" i="14"/>
  <c r="AE212" i="5"/>
  <c r="V42" i="5"/>
  <c r="H27" i="14"/>
  <c r="H29" i="14" s="1"/>
  <c r="AH78" i="12"/>
  <c r="AG114" i="5"/>
  <c r="U11" i="19"/>
  <c r="U29" i="19" s="1"/>
  <c r="R78" i="12"/>
  <c r="J81" i="12"/>
  <c r="K83" i="12" s="1"/>
  <c r="I98" i="16"/>
  <c r="I66" i="5" s="1"/>
  <c r="K98" i="16"/>
  <c r="K66" i="5" s="1"/>
  <c r="M26" i="14"/>
  <c r="M29" i="14" s="1"/>
  <c r="J97" i="16"/>
  <c r="K27" i="19"/>
  <c r="Y97" i="16"/>
  <c r="F65" i="5"/>
  <c r="U98" i="16"/>
  <c r="U66" i="5" s="1"/>
  <c r="K97" i="16"/>
  <c r="J11" i="19"/>
  <c r="K96" i="16"/>
  <c r="AI29" i="14"/>
  <c r="K65" i="5"/>
  <c r="U29" i="14"/>
  <c r="O21" i="19"/>
  <c r="E29" i="14"/>
  <c r="J96" i="16"/>
  <c r="O11" i="19"/>
  <c r="P23" i="19" s="1"/>
  <c r="F81" i="12"/>
  <c r="K82" i="12" s="1"/>
  <c r="Q9" i="19"/>
  <c r="K21" i="19"/>
  <c r="P27" i="19"/>
  <c r="AJ52" i="8"/>
  <c r="AJ74" i="8" s="1"/>
  <c r="I65" i="5"/>
  <c r="J20" i="19"/>
  <c r="I96" i="16"/>
  <c r="F97" i="16"/>
  <c r="X29" i="14"/>
  <c r="T94" i="16"/>
  <c r="U97" i="16" s="1"/>
  <c r="N96" i="16"/>
  <c r="X11" i="19"/>
  <c r="X29" i="19" s="1"/>
  <c r="AA8" i="19"/>
  <c r="Y20" i="19"/>
  <c r="AE26" i="19"/>
  <c r="AJ26" i="19"/>
  <c r="M35" i="14"/>
  <c r="Y98" i="16"/>
  <c r="Y66" i="5" s="1"/>
  <c r="Y65" i="5"/>
  <c r="Y81" i="12"/>
  <c r="O26" i="19"/>
  <c r="X26" i="19"/>
  <c r="AC29" i="14"/>
  <c r="F11" i="19"/>
  <c r="K20" i="19"/>
  <c r="G8" i="19"/>
  <c r="I20" i="19" s="1"/>
  <c r="N26" i="19"/>
  <c r="S26" i="19"/>
  <c r="O20" i="19"/>
  <c r="M9" i="19"/>
  <c r="R27" i="19" s="1"/>
  <c r="M105" i="8"/>
  <c r="Y21" i="19"/>
  <c r="K26" i="19"/>
  <c r="AE11" i="19"/>
  <c r="AE35" i="19" s="1"/>
  <c r="AC26" i="19"/>
  <c r="AG115" i="5"/>
  <c r="AG165" i="5"/>
  <c r="AF205" i="5"/>
  <c r="AF149" i="5"/>
  <c r="AF99" i="5"/>
  <c r="AB53" i="8"/>
  <c r="AB108" i="8" s="1"/>
  <c r="T27" i="19"/>
  <c r="Y27" i="19"/>
  <c r="R51" i="8"/>
  <c r="R47" i="8"/>
  <c r="R49" i="8" s="1"/>
  <c r="R50" i="8" s="1"/>
  <c r="AJ195" i="5"/>
  <c r="AJ89" i="5"/>
  <c r="AJ139" i="5"/>
  <c r="R156" i="5"/>
  <c r="R106" i="5"/>
  <c r="AG137" i="5"/>
  <c r="AG120" i="8" s="1"/>
  <c r="AG87" i="5"/>
  <c r="AF195" i="5"/>
  <c r="AF139" i="5"/>
  <c r="AF89" i="5"/>
  <c r="AK193" i="5"/>
  <c r="AK87" i="5"/>
  <c r="AK137" i="5"/>
  <c r="AK120" i="8" s="1"/>
  <c r="AK121" i="8" s="1"/>
  <c r="P215" i="5"/>
  <c r="P159" i="5"/>
  <c r="P109" i="5"/>
  <c r="T117" i="5"/>
  <c r="H91" i="5"/>
  <c r="H18" i="5"/>
  <c r="Z159" i="5"/>
  <c r="Y167" i="5"/>
  <c r="AG113" i="5"/>
  <c r="T112" i="8"/>
  <c r="T78" i="8"/>
  <c r="AH26" i="14"/>
  <c r="AH35" i="14"/>
  <c r="AH27" i="14"/>
  <c r="AH9" i="19"/>
  <c r="AH27" i="19" s="1"/>
  <c r="AH8" i="19"/>
  <c r="AI20" i="19" s="1"/>
  <c r="N29" i="14"/>
  <c r="N215" i="5"/>
  <c r="N159" i="5"/>
  <c r="N109" i="5"/>
  <c r="N49" i="5"/>
  <c r="N42" i="5"/>
  <c r="O29" i="14"/>
  <c r="AC49" i="5"/>
  <c r="AC215" i="5"/>
  <c r="AC159" i="5"/>
  <c r="AC109" i="5"/>
  <c r="AC42" i="5"/>
  <c r="M108" i="16"/>
  <c r="M116" i="16"/>
  <c r="R108" i="16"/>
  <c r="S215" i="5"/>
  <c r="S159" i="5"/>
  <c r="S109" i="5"/>
  <c r="S42" i="5"/>
  <c r="S49" i="5"/>
  <c r="N78" i="8"/>
  <c r="N112" i="8"/>
  <c r="O215" i="5"/>
  <c r="AH202" i="5"/>
  <c r="AH146" i="5"/>
  <c r="AH96" i="5"/>
  <c r="AI146" i="5"/>
  <c r="AI202" i="5"/>
  <c r="AI96" i="5"/>
  <c r="Q112" i="8"/>
  <c r="Q78" i="8"/>
  <c r="AH38" i="16"/>
  <c r="AH42" i="16" s="1"/>
  <c r="AE20" i="19"/>
  <c r="AD11" i="19"/>
  <c r="AD20" i="19"/>
  <c r="AD26" i="19"/>
  <c r="AH195" i="5"/>
  <c r="AH139" i="5"/>
  <c r="AH89" i="5"/>
  <c r="L215" i="5"/>
  <c r="L159" i="5"/>
  <c r="L109" i="5"/>
  <c r="AA215" i="5"/>
  <c r="AA159" i="5"/>
  <c r="AA109" i="5"/>
  <c r="U21" i="19"/>
  <c r="S29" i="14"/>
  <c r="AH221" i="5"/>
  <c r="AH165" i="5"/>
  <c r="AH115" i="5"/>
  <c r="AF202" i="5"/>
  <c r="AF146" i="5"/>
  <c r="AF96" i="5"/>
  <c r="U215" i="5"/>
  <c r="U159" i="5"/>
  <c r="U109" i="5"/>
  <c r="AH113" i="5"/>
  <c r="AH83" i="16"/>
  <c r="AB60" i="8"/>
  <c r="AB78" i="8" s="1"/>
  <c r="AB156" i="5"/>
  <c r="AB106" i="5"/>
  <c r="AB38" i="5"/>
  <c r="H95" i="8"/>
  <c r="H85" i="8"/>
  <c r="H71" i="8"/>
  <c r="Q215" i="5"/>
  <c r="Q159" i="5"/>
  <c r="Q109" i="5"/>
  <c r="Q49" i="5"/>
  <c r="Q42" i="5"/>
  <c r="W156" i="5"/>
  <c r="W106" i="5"/>
  <c r="W38" i="5"/>
  <c r="W60" i="8"/>
  <c r="AH208" i="5"/>
  <c r="AH102" i="5"/>
  <c r="AH152" i="5"/>
  <c r="V112" i="8"/>
  <c r="V78" i="8"/>
  <c r="AI141" i="5"/>
  <c r="AI91" i="5"/>
  <c r="M141" i="5"/>
  <c r="M91" i="5"/>
  <c r="M18" i="5"/>
  <c r="K215" i="5"/>
  <c r="K159" i="5"/>
  <c r="K109" i="5"/>
  <c r="M106" i="5"/>
  <c r="M156" i="5"/>
  <c r="X215" i="5"/>
  <c r="X159" i="5"/>
  <c r="X109" i="5"/>
  <c r="AF197" i="5"/>
  <c r="AF141" i="5"/>
  <c r="AF91" i="5"/>
  <c r="AF208" i="5"/>
  <c r="AF152" i="5"/>
  <c r="AF102" i="5"/>
  <c r="Z78" i="8"/>
  <c r="Z112" i="8"/>
  <c r="T215" i="5"/>
  <c r="T159" i="5"/>
  <c r="T109" i="5"/>
  <c r="T42" i="5"/>
  <c r="AB141" i="5"/>
  <c r="AB91" i="5"/>
  <c r="AB18" i="5"/>
  <c r="W91" i="5"/>
  <c r="W141" i="5"/>
  <c r="W18" i="5"/>
  <c r="R87" i="16"/>
  <c r="R94" i="16" s="1"/>
  <c r="AI53" i="8"/>
  <c r="AI108" i="8" s="1"/>
  <c r="AI195" i="5"/>
  <c r="T11" i="19"/>
  <c r="U20" i="19"/>
  <c r="T26" i="19"/>
  <c r="Y26" i="19"/>
  <c r="AD27" i="19"/>
  <c r="AD21" i="19"/>
  <c r="E117" i="5"/>
  <c r="E54" i="5"/>
  <c r="N29" i="19"/>
  <c r="N35" i="19"/>
  <c r="K35" i="19"/>
  <c r="H60" i="8"/>
  <c r="H38" i="5"/>
  <c r="K42" i="5"/>
  <c r="K49" i="5"/>
  <c r="M41" i="5"/>
  <c r="M38" i="5"/>
  <c r="M60" i="8"/>
  <c r="AH22" i="5"/>
  <c r="AH32" i="5"/>
  <c r="AI27" i="19"/>
  <c r="AJ21" i="19"/>
  <c r="L49" i="5"/>
  <c r="L42" i="5"/>
  <c r="AJ16" i="5"/>
  <c r="AJ59" i="8"/>
  <c r="K29" i="14"/>
  <c r="AA49" i="5"/>
  <c r="AA42" i="5"/>
  <c r="X49" i="5"/>
  <c r="AB41" i="5"/>
  <c r="X42" i="5"/>
  <c r="AF79" i="12"/>
  <c r="AF78" i="12"/>
  <c r="AH79" i="12"/>
  <c r="AF22" i="5"/>
  <c r="AG21" i="5"/>
  <c r="AG23" i="5" s="1"/>
  <c r="AF37" i="5"/>
  <c r="AF41" i="5" s="1"/>
  <c r="AD64" i="12"/>
  <c r="AJ29" i="14"/>
  <c r="AL20" i="8"/>
  <c r="AF35" i="14"/>
  <c r="AF27" i="14"/>
  <c r="AF26" i="14"/>
  <c r="AF38" i="16"/>
  <c r="AF42" i="16" s="1"/>
  <c r="AG33" i="5"/>
  <c r="AF32" i="5"/>
  <c r="U78" i="8"/>
  <c r="U112" i="8"/>
  <c r="M71" i="12"/>
  <c r="M68" i="5" s="1"/>
  <c r="M78" i="12"/>
  <c r="W78" i="12"/>
  <c r="AH59" i="8"/>
  <c r="AH16" i="5"/>
  <c r="AI22" i="5"/>
  <c r="AJ38" i="16"/>
  <c r="AJ42" i="16" s="1"/>
  <c r="W108" i="16"/>
  <c r="AB108" i="16"/>
  <c r="W116" i="16"/>
  <c r="X78" i="8"/>
  <c r="X112" i="8"/>
  <c r="S112" i="8"/>
  <c r="S78" i="8"/>
  <c r="AB78" i="12"/>
  <c r="AG90" i="16"/>
  <c r="AH90" i="16"/>
  <c r="AB21" i="6"/>
  <c r="AG8" i="16"/>
  <c r="AG58" i="8"/>
  <c r="AG77" i="12"/>
  <c r="AG78" i="12" s="1"/>
  <c r="AG34" i="19"/>
  <c r="AG36" i="16"/>
  <c r="AG34" i="14"/>
  <c r="AG100" i="16"/>
  <c r="AF27" i="5"/>
  <c r="AG28" i="5"/>
  <c r="P42" i="5"/>
  <c r="P49" i="5"/>
  <c r="R41" i="5"/>
  <c r="P112" i="8"/>
  <c r="P78" i="8"/>
  <c r="AD105" i="8"/>
  <c r="AD53" i="8"/>
  <c r="AD108" i="8" s="1"/>
  <c r="S35" i="19"/>
  <c r="S29" i="19"/>
  <c r="AE114" i="16"/>
  <c r="AE115" i="16"/>
  <c r="AE116" i="16"/>
  <c r="AE89" i="16"/>
  <c r="AE64" i="16"/>
  <c r="AD121" i="8"/>
  <c r="AD64" i="16"/>
  <c r="AD89" i="16"/>
  <c r="AD116" i="16"/>
  <c r="AD114" i="16"/>
  <c r="AD115" i="16"/>
  <c r="L8" i="19"/>
  <c r="M26" i="19"/>
  <c r="AI11" i="19"/>
  <c r="AN29" i="19" s="1"/>
  <c r="AI26" i="19"/>
  <c r="AJ20" i="19"/>
  <c r="M85" i="8"/>
  <c r="M95" i="8"/>
  <c r="M71" i="8"/>
  <c r="M52" i="8"/>
  <c r="M74" i="8" s="1"/>
  <c r="H51" i="8"/>
  <c r="H47" i="8"/>
  <c r="H49" i="8" s="1"/>
  <c r="H50" i="8" s="1"/>
  <c r="W8" i="19"/>
  <c r="W9" i="19"/>
  <c r="M87" i="16"/>
  <c r="M94" i="16" s="1"/>
  <c r="R60" i="8"/>
  <c r="R38" i="5"/>
  <c r="AG14" i="5"/>
  <c r="AF59" i="8"/>
  <c r="AK34" i="19"/>
  <c r="AL9" i="5"/>
  <c r="AL69" i="19" s="1"/>
  <c r="AK58" i="8"/>
  <c r="AK100" i="16"/>
  <c r="AK77" i="12"/>
  <c r="AM79" i="12" s="1"/>
  <c r="AK36" i="16"/>
  <c r="AK8" i="16"/>
  <c r="AF21" i="6"/>
  <c r="AK34" i="14"/>
  <c r="U42" i="5"/>
  <c r="U49" i="5"/>
  <c r="W41" i="5"/>
  <c r="T56" i="5"/>
  <c r="T50" i="5"/>
  <c r="T54" i="5"/>
  <c r="AT22" i="6"/>
  <c r="AL22" i="6"/>
  <c r="AP22" i="6"/>
  <c r="AF22" i="6"/>
  <c r="AB22" i="6"/>
  <c r="AX22" i="6"/>
  <c r="Z223" i="5" l="1"/>
  <c r="O223" i="5"/>
  <c r="R26" i="19"/>
  <c r="AX167" i="16"/>
  <c r="AX181" i="16"/>
  <c r="O56" i="5"/>
  <c r="O124" i="5" s="1"/>
  <c r="T167" i="5"/>
  <c r="G56" i="5"/>
  <c r="I230" i="5" s="1"/>
  <c r="O50" i="5"/>
  <c r="G54" i="5"/>
  <c r="O54" i="5"/>
  <c r="G117" i="5"/>
  <c r="Q8" i="19"/>
  <c r="Q11" i="19" s="1"/>
  <c r="Z50" i="5"/>
  <c r="F223" i="5"/>
  <c r="H42" i="5"/>
  <c r="AY162" i="16"/>
  <c r="AY163" i="16" s="1"/>
  <c r="AY174" i="16"/>
  <c r="AY176" i="16" s="1"/>
  <c r="BC162" i="16"/>
  <c r="BC163" i="16" s="1"/>
  <c r="BC174" i="16"/>
  <c r="BC176" i="16" s="1"/>
  <c r="G223" i="5"/>
  <c r="AD109" i="5"/>
  <c r="F54" i="5"/>
  <c r="AD42" i="5"/>
  <c r="F56" i="5"/>
  <c r="F59" i="5" s="1"/>
  <c r="F50" i="5"/>
  <c r="AD49" i="5"/>
  <c r="AD167" i="5" s="1"/>
  <c r="Z56" i="5"/>
  <c r="Z59" i="5" s="1"/>
  <c r="U23" i="6" s="1"/>
  <c r="AE42" i="5"/>
  <c r="Z117" i="5"/>
  <c r="BC85" i="8"/>
  <c r="BC71" i="8"/>
  <c r="BC95" i="8"/>
  <c r="BC27" i="14"/>
  <c r="BC26" i="14"/>
  <c r="BH100" i="16"/>
  <c r="BH107" i="16"/>
  <c r="BH77" i="12"/>
  <c r="BH78" i="12" s="1"/>
  <c r="AZ109" i="16"/>
  <c r="AY116" i="16"/>
  <c r="BC18" i="5"/>
  <c r="AB52" i="19"/>
  <c r="AY85" i="8"/>
  <c r="AY71" i="8"/>
  <c r="BH36" i="16"/>
  <c r="BH8" i="16"/>
  <c r="BH17" i="16"/>
  <c r="BH58" i="8"/>
  <c r="BH71" i="8" s="1"/>
  <c r="BH34" i="14"/>
  <c r="BH69" i="19"/>
  <c r="BD18" i="5"/>
  <c r="BC16" i="5"/>
  <c r="BC21" i="6"/>
  <c r="G9" i="19"/>
  <c r="G15" i="19" s="1"/>
  <c r="AY79" i="12"/>
  <c r="AY78" i="12"/>
  <c r="AY109" i="16"/>
  <c r="AY108" i="16"/>
  <c r="AY38" i="16"/>
  <c r="AY42" i="16" s="1"/>
  <c r="AD159" i="5"/>
  <c r="J50" i="5"/>
  <c r="O167" i="5"/>
  <c r="J56" i="5"/>
  <c r="J59" i="5" s="1"/>
  <c r="E23" i="6" s="1"/>
  <c r="J54" i="5"/>
  <c r="AB29" i="14"/>
  <c r="BC78" i="12"/>
  <c r="AY21" i="6"/>
  <c r="BH137" i="5"/>
  <c r="BH120" i="8" s="1"/>
  <c r="BH121" i="8" s="1"/>
  <c r="BH113" i="5"/>
  <c r="BH87" i="5"/>
  <c r="BH114" i="5"/>
  <c r="AU71" i="8"/>
  <c r="AU85" i="8"/>
  <c r="AU95" i="8"/>
  <c r="AG49" i="19"/>
  <c r="AG50" i="19"/>
  <c r="AG70" i="19"/>
  <c r="AL50" i="19"/>
  <c r="AL70" i="19"/>
  <c r="AL49" i="19"/>
  <c r="J117" i="5"/>
  <c r="AQ8" i="19"/>
  <c r="R52" i="19"/>
  <c r="AY15" i="14"/>
  <c r="AT15" i="14"/>
  <c r="AT11" i="14"/>
  <c r="H52" i="19"/>
  <c r="AQ15" i="19"/>
  <c r="BB45" i="16"/>
  <c r="BB18" i="16"/>
  <c r="BC19" i="16" s="1"/>
  <c r="BC35" i="14"/>
  <c r="BD137" i="5"/>
  <c r="BD120" i="8" s="1"/>
  <c r="BD121" i="8" s="1"/>
  <c r="BD107" i="16"/>
  <c r="BD174" i="16" s="1"/>
  <c r="BD176" i="16" s="1"/>
  <c r="BD17" i="16"/>
  <c r="BD77" i="12"/>
  <c r="BD36" i="16"/>
  <c r="BD34" i="14"/>
  <c r="BD8" i="16"/>
  <c r="BD69" i="19"/>
  <c r="BD49" i="19" s="1"/>
  <c r="BD34" i="19"/>
  <c r="BD87" i="5"/>
  <c r="BD58" i="8"/>
  <c r="BD100" i="16"/>
  <c r="BD193" i="5"/>
  <c r="BD11" i="5"/>
  <c r="BD113" i="5"/>
  <c r="BD114" i="5"/>
  <c r="BC38" i="16"/>
  <c r="BC42" i="16" s="1"/>
  <c r="BC59" i="8"/>
  <c r="BC105" i="8" s="1"/>
  <c r="BC89" i="5"/>
  <c r="BC8" i="19"/>
  <c r="BC9" i="19" s="1"/>
  <c r="BC49" i="19"/>
  <c r="BC50" i="19"/>
  <c r="BC70" i="19"/>
  <c r="BC108" i="16"/>
  <c r="AY9" i="19"/>
  <c r="AY11" i="19" s="1"/>
  <c r="AG23" i="16"/>
  <c r="AU21" i="14"/>
  <c r="AW21" i="14"/>
  <c r="AU11" i="14"/>
  <c r="AU35" i="14" s="1"/>
  <c r="AU15" i="14"/>
  <c r="AW17" i="14"/>
  <c r="AR17" i="14"/>
  <c r="AR23" i="14"/>
  <c r="M23" i="16"/>
  <c r="M7" i="5"/>
  <c r="AX15" i="14"/>
  <c r="AT21" i="14"/>
  <c r="AS11" i="14"/>
  <c r="AS21" i="14"/>
  <c r="AS15" i="14"/>
  <c r="AS27" i="14"/>
  <c r="AS29" i="14" s="1"/>
  <c r="AY26" i="19"/>
  <c r="AX29" i="14"/>
  <c r="AX89" i="16"/>
  <c r="AV69" i="19"/>
  <c r="AV49" i="19" s="1"/>
  <c r="AV9" i="19"/>
  <c r="AV8" i="19"/>
  <c r="AY35" i="14"/>
  <c r="AX38" i="12"/>
  <c r="AT52" i="19"/>
  <c r="AY26" i="14"/>
  <c r="AY29" i="14" s="1"/>
  <c r="AX11" i="19"/>
  <c r="AX52" i="19"/>
  <c r="AP52" i="19"/>
  <c r="AZ34" i="19"/>
  <c r="AZ8" i="19" s="1"/>
  <c r="AZ34" i="14"/>
  <c r="AZ26" i="14" s="1"/>
  <c r="AZ77" i="12"/>
  <c r="AZ58" i="8"/>
  <c r="AZ113" i="5"/>
  <c r="AZ17" i="16"/>
  <c r="AZ193" i="5"/>
  <c r="AZ11" i="5"/>
  <c r="AZ87" i="5"/>
  <c r="AZ8" i="16"/>
  <c r="AZ100" i="16"/>
  <c r="AY50" i="19"/>
  <c r="AY49" i="19"/>
  <c r="AY70" i="19"/>
  <c r="AZ69" i="19"/>
  <c r="AU21" i="6"/>
  <c r="AU50" i="19"/>
  <c r="AU49" i="19"/>
  <c r="AU70" i="19"/>
  <c r="AZ36" i="16"/>
  <c r="AZ137" i="5"/>
  <c r="AQ49" i="19"/>
  <c r="AQ70" i="19"/>
  <c r="AQ50" i="19"/>
  <c r="W23" i="16"/>
  <c r="AF14" i="16"/>
  <c r="AE85" i="8"/>
  <c r="AT38" i="12"/>
  <c r="AP65" i="12"/>
  <c r="AF38" i="12"/>
  <c r="AF77" i="16"/>
  <c r="AF27" i="12"/>
  <c r="R69" i="12"/>
  <c r="AS29" i="19"/>
  <c r="AS35" i="19"/>
  <c r="AY20" i="19"/>
  <c r="AT27" i="19"/>
  <c r="AE49" i="5"/>
  <c r="AE167" i="5" s="1"/>
  <c r="AE109" i="5"/>
  <c r="AE215" i="5"/>
  <c r="AG41" i="5"/>
  <c r="AG49" i="5" s="1"/>
  <c r="AG50" i="5" s="1"/>
  <c r="I167" i="5"/>
  <c r="E63" i="16"/>
  <c r="E73" i="16" s="1"/>
  <c r="E74" i="16" s="1"/>
  <c r="E59" i="5"/>
  <c r="AB23" i="16"/>
  <c r="R23" i="16"/>
  <c r="AT11" i="19"/>
  <c r="W67" i="5"/>
  <c r="O24" i="16"/>
  <c r="S23" i="16"/>
  <c r="N23" i="16"/>
  <c r="N24" i="16"/>
  <c r="I23" i="16"/>
  <c r="I24" i="16"/>
  <c r="J24" i="16"/>
  <c r="Q23" i="16"/>
  <c r="L23" i="16"/>
  <c r="L24" i="16"/>
  <c r="AT21" i="19"/>
  <c r="AL17" i="16"/>
  <c r="AL107" i="16"/>
  <c r="AQ108" i="16" s="1"/>
  <c r="AK71" i="8"/>
  <c r="AK95" i="8"/>
  <c r="AK85" i="8"/>
  <c r="AV34" i="19"/>
  <c r="AV17" i="16"/>
  <c r="Y136" i="5"/>
  <c r="Y192" i="5"/>
  <c r="Y86" i="5"/>
  <c r="T136" i="5"/>
  <c r="T192" i="5"/>
  <c r="T86" i="5"/>
  <c r="S86" i="5"/>
  <c r="S192" i="5"/>
  <c r="Z192" i="5"/>
  <c r="Z86" i="5"/>
  <c r="AC86" i="5"/>
  <c r="AC192" i="5"/>
  <c r="N136" i="5"/>
  <c r="N86" i="5"/>
  <c r="N192" i="5"/>
  <c r="AE136" i="5"/>
  <c r="AE86" i="5"/>
  <c r="AE192" i="5"/>
  <c r="Q136" i="5"/>
  <c r="Q192" i="5"/>
  <c r="Q86" i="5"/>
  <c r="AA136" i="5"/>
  <c r="AA192" i="5"/>
  <c r="AA86" i="5"/>
  <c r="V192" i="5"/>
  <c r="V86" i="5"/>
  <c r="AD86" i="5"/>
  <c r="AD192" i="5"/>
  <c r="U136" i="5"/>
  <c r="U192" i="5"/>
  <c r="U86" i="5"/>
  <c r="X136" i="5"/>
  <c r="X192" i="5"/>
  <c r="X86" i="5"/>
  <c r="AR26" i="19"/>
  <c r="AR11" i="19"/>
  <c r="AS20" i="19"/>
  <c r="AR27" i="19"/>
  <c r="AS21" i="19"/>
  <c r="S136" i="5"/>
  <c r="Z136" i="5"/>
  <c r="AC136" i="5"/>
  <c r="AD112" i="8"/>
  <c r="V136" i="5"/>
  <c r="AD136" i="5"/>
  <c r="AO17" i="14"/>
  <c r="AJ35" i="14"/>
  <c r="AJ17" i="14"/>
  <c r="AJ23" i="14"/>
  <c r="AJ105" i="8"/>
  <c r="AK21" i="14"/>
  <c r="AP15" i="14"/>
  <c r="AK15" i="14"/>
  <c r="AM21" i="14"/>
  <c r="AK20" i="14"/>
  <c r="AK11" i="14"/>
  <c r="AK35" i="14" s="1"/>
  <c r="AM20" i="14"/>
  <c r="AP14" i="14"/>
  <c r="AK14" i="14"/>
  <c r="AQ8" i="8"/>
  <c r="AJ18" i="5"/>
  <c r="AT29" i="14"/>
  <c r="AT64" i="16"/>
  <c r="AT89" i="16"/>
  <c r="AR29" i="14"/>
  <c r="AU26" i="14"/>
  <c r="AU27" i="14"/>
  <c r="AV35" i="12"/>
  <c r="AV9" i="8"/>
  <c r="AT52" i="8"/>
  <c r="AT74" i="8" s="1"/>
  <c r="AV34" i="14"/>
  <c r="AV107" i="16"/>
  <c r="AV36" i="16"/>
  <c r="AV77" i="12"/>
  <c r="AV8" i="16"/>
  <c r="AV100" i="16"/>
  <c r="AQ21" i="6"/>
  <c r="AV58" i="8"/>
  <c r="AV87" i="5"/>
  <c r="AV10" i="5"/>
  <c r="AV137" i="5"/>
  <c r="AU38" i="16"/>
  <c r="AU42" i="16" s="1"/>
  <c r="AU79" i="12"/>
  <c r="AU78" i="12"/>
  <c r="AT65" i="12"/>
  <c r="AR52" i="8"/>
  <c r="AR74" i="8" s="1"/>
  <c r="AR64" i="16"/>
  <c r="AR89" i="16"/>
  <c r="P33" i="7"/>
  <c r="J33" i="7"/>
  <c r="L33" i="7"/>
  <c r="O33" i="7"/>
  <c r="I33" i="7"/>
  <c r="R71" i="12"/>
  <c r="R68" i="5" s="1"/>
  <c r="R65" i="8"/>
  <c r="W71" i="12"/>
  <c r="W68" i="5" s="1"/>
  <c r="AB69" i="12"/>
  <c r="W69" i="12"/>
  <c r="R60" i="12"/>
  <c r="R61" i="12" s="1"/>
  <c r="W60" i="12" s="1"/>
  <c r="W61" i="12" s="1"/>
  <c r="AB60" i="12" s="1"/>
  <c r="AB61" i="12" s="1"/>
  <c r="AD68" i="12"/>
  <c r="AD65" i="8" s="1"/>
  <c r="O96" i="16"/>
  <c r="O65" i="5"/>
  <c r="O81" i="12"/>
  <c r="O83" i="12" s="1"/>
  <c r="O98" i="16"/>
  <c r="O66" i="5" s="1"/>
  <c r="AH105" i="8"/>
  <c r="AG108" i="16"/>
  <c r="AH134" i="8"/>
  <c r="AH133" i="8"/>
  <c r="AQ10" i="5"/>
  <c r="Q65" i="5"/>
  <c r="Q98" i="16"/>
  <c r="Q66" i="5" s="1"/>
  <c r="AI10" i="16"/>
  <c r="AI197" i="5"/>
  <c r="AH18" i="5"/>
  <c r="J223" i="5"/>
  <c r="R86" i="5"/>
  <c r="AI220" i="5"/>
  <c r="I50" i="5"/>
  <c r="I117" i="5"/>
  <c r="AI114" i="5"/>
  <c r="I54" i="5"/>
  <c r="I223" i="5"/>
  <c r="AA9" i="19"/>
  <c r="AA21" i="19" s="1"/>
  <c r="AG121" i="8"/>
  <c r="AI164" i="5"/>
  <c r="AH37" i="5"/>
  <c r="AH106" i="5" s="1"/>
  <c r="AF105" i="8"/>
  <c r="AG85" i="8"/>
  <c r="AG95" i="8"/>
  <c r="AF133" i="8"/>
  <c r="AF134" i="8"/>
  <c r="Z96" i="16"/>
  <c r="AH149" i="5"/>
  <c r="AH205" i="5"/>
  <c r="AH99" i="5"/>
  <c r="AH27" i="5"/>
  <c r="Z97" i="16"/>
  <c r="N15" i="16"/>
  <c r="L15" i="16"/>
  <c r="AH28" i="5"/>
  <c r="AA98" i="16"/>
  <c r="AA66" i="5" s="1"/>
  <c r="Y63" i="16"/>
  <c r="W86" i="5"/>
  <c r="AA65" i="5"/>
  <c r="H49" i="5"/>
  <c r="H117" i="5" s="1"/>
  <c r="G97" i="16"/>
  <c r="G81" i="12"/>
  <c r="I83" i="12" s="1"/>
  <c r="Y59" i="5"/>
  <c r="W14" i="16"/>
  <c r="AA134" i="8"/>
  <c r="W133" i="8"/>
  <c r="AC134" i="8"/>
  <c r="AC133" i="8"/>
  <c r="T133" i="8"/>
  <c r="T134" i="8"/>
  <c r="S134" i="8"/>
  <c r="S133" i="8"/>
  <c r="AA133" i="8"/>
  <c r="V133" i="8"/>
  <c r="V134" i="8"/>
  <c r="AD134" i="8"/>
  <c r="AD133" i="8"/>
  <c r="U134" i="8"/>
  <c r="U133" i="8"/>
  <c r="AF15" i="16"/>
  <c r="AB14" i="16"/>
  <c r="AB131" i="8"/>
  <c r="AB133" i="8" s="1"/>
  <c r="Q133" i="8"/>
  <c r="Q134" i="8"/>
  <c r="Z133" i="8"/>
  <c r="Z134" i="8"/>
  <c r="S81" i="12"/>
  <c r="S83" i="12" s="1"/>
  <c r="AC96" i="16"/>
  <c r="L65" i="5"/>
  <c r="AE64" i="12"/>
  <c r="AE63" i="8"/>
  <c r="AA97" i="16"/>
  <c r="AM27" i="19"/>
  <c r="AC98" i="16"/>
  <c r="AC66" i="5" s="1"/>
  <c r="AC81" i="12"/>
  <c r="AC83" i="12" s="1"/>
  <c r="X96" i="16"/>
  <c r="S65" i="5"/>
  <c r="AC97" i="16"/>
  <c r="L81" i="12"/>
  <c r="N83" i="12" s="1"/>
  <c r="S97" i="16"/>
  <c r="S96" i="16"/>
  <c r="AP89" i="16"/>
  <c r="AP64" i="16"/>
  <c r="AM26" i="19"/>
  <c r="AQ137" i="5"/>
  <c r="AQ120" i="8" s="1"/>
  <c r="Z65" i="5"/>
  <c r="G65" i="5"/>
  <c r="AP29" i="14"/>
  <c r="AP78" i="12"/>
  <c r="AM35" i="19"/>
  <c r="D117" i="5"/>
  <c r="D54" i="5"/>
  <c r="D56" i="5"/>
  <c r="D50" i="5"/>
  <c r="AN23" i="19"/>
  <c r="AP52" i="8"/>
  <c r="AP74" i="8" s="1"/>
  <c r="AQ9" i="8"/>
  <c r="AQ69" i="8" s="1"/>
  <c r="I97" i="16"/>
  <c r="E83" i="12"/>
  <c r="AO23" i="19"/>
  <c r="AO35" i="19"/>
  <c r="AO29" i="19"/>
  <c r="AQ27" i="14"/>
  <c r="AQ26" i="14"/>
  <c r="AQ35" i="14"/>
  <c r="AG12" i="16"/>
  <c r="AG131" i="8" s="1"/>
  <c r="Q96" i="16"/>
  <c r="L96" i="16"/>
  <c r="P98" i="16"/>
  <c r="P66" i="5" s="1"/>
  <c r="P96" i="16"/>
  <c r="AE94" i="16"/>
  <c r="AE96" i="16" s="1"/>
  <c r="L98" i="16"/>
  <c r="L66" i="5" s="1"/>
  <c r="Z81" i="12"/>
  <c r="AA83" i="12" s="1"/>
  <c r="N97" i="16"/>
  <c r="AM51" i="16"/>
  <c r="AN42" i="16"/>
  <c r="V65" i="5"/>
  <c r="T97" i="16"/>
  <c r="V97" i="16"/>
  <c r="P97" i="16"/>
  <c r="U96" i="16"/>
  <c r="Q97" i="16"/>
  <c r="AA96" i="16"/>
  <c r="X97" i="16"/>
  <c r="P81" i="12"/>
  <c r="P82" i="12" s="1"/>
  <c r="AD94" i="16"/>
  <c r="AD97" i="16" s="1"/>
  <c r="V81" i="12"/>
  <c r="X83" i="12" s="1"/>
  <c r="V96" i="16"/>
  <c r="R14" i="16"/>
  <c r="M14" i="16"/>
  <c r="AL39" i="8"/>
  <c r="I10" i="16"/>
  <c r="I12" i="16" s="1"/>
  <c r="G12" i="16"/>
  <c r="AL10" i="5"/>
  <c r="Z35" i="19"/>
  <c r="AE29" i="19"/>
  <c r="O29" i="19"/>
  <c r="F23" i="19"/>
  <c r="W81" i="12"/>
  <c r="H98" i="16"/>
  <c r="H66" i="5" s="1"/>
  <c r="J29" i="19"/>
  <c r="AJ29" i="19"/>
  <c r="AI21" i="19"/>
  <c r="H65" i="5"/>
  <c r="H96" i="16"/>
  <c r="J82" i="12"/>
  <c r="W98" i="16"/>
  <c r="W66" i="5" s="1"/>
  <c r="E23" i="19"/>
  <c r="U35" i="19"/>
  <c r="U23" i="19"/>
  <c r="D35" i="19"/>
  <c r="V63" i="16"/>
  <c r="V73" i="16" s="1"/>
  <c r="V59" i="5"/>
  <c r="Q23" i="6" s="1"/>
  <c r="V124" i="5"/>
  <c r="AI61" i="8"/>
  <c r="AI236" i="5"/>
  <c r="AI180" i="5"/>
  <c r="Z29" i="19"/>
  <c r="F83" i="12"/>
  <c r="Y83" i="12"/>
  <c r="J83" i="12"/>
  <c r="O23" i="19"/>
  <c r="AB65" i="5"/>
  <c r="T96" i="16"/>
  <c r="T98" i="16"/>
  <c r="T66" i="5" s="1"/>
  <c r="O35" i="19"/>
  <c r="J23" i="19"/>
  <c r="AB96" i="16"/>
  <c r="T65" i="5"/>
  <c r="J35" i="19"/>
  <c r="Y96" i="16"/>
  <c r="T81" i="12"/>
  <c r="U83" i="12" s="1"/>
  <c r="K23" i="19"/>
  <c r="AF29" i="14"/>
  <c r="Q15" i="19"/>
  <c r="Q21" i="19"/>
  <c r="S21" i="19"/>
  <c r="T23" i="19"/>
  <c r="AB81" i="12"/>
  <c r="K29" i="19"/>
  <c r="F35" i="19"/>
  <c r="M11" i="19"/>
  <c r="M35" i="19" s="1"/>
  <c r="L9" i="19"/>
  <c r="L21" i="19" s="1"/>
  <c r="M27" i="19"/>
  <c r="W96" i="16"/>
  <c r="R65" i="5"/>
  <c r="AA20" i="19"/>
  <c r="AA14" i="19"/>
  <c r="AC20" i="19"/>
  <c r="X35" i="19"/>
  <c r="AC29" i="19"/>
  <c r="Y23" i="19"/>
  <c r="G20" i="19"/>
  <c r="G14" i="19"/>
  <c r="AF215" i="5"/>
  <c r="AF159" i="5"/>
  <c r="AF109" i="5"/>
  <c r="AH65" i="12"/>
  <c r="R81" i="12"/>
  <c r="AF212" i="5"/>
  <c r="AF156" i="5"/>
  <c r="AF106" i="5"/>
  <c r="AA223" i="5"/>
  <c r="AA167" i="5"/>
  <c r="AA117" i="5"/>
  <c r="M159" i="5"/>
  <c r="M109" i="5"/>
  <c r="W112" i="8"/>
  <c r="W78" i="8"/>
  <c r="N223" i="5"/>
  <c r="N167" i="5"/>
  <c r="N117" i="5"/>
  <c r="N50" i="5"/>
  <c r="N56" i="5"/>
  <c r="N54" i="5"/>
  <c r="AB112" i="8"/>
  <c r="S223" i="5"/>
  <c r="S167" i="5"/>
  <c r="S117" i="5"/>
  <c r="S56" i="5"/>
  <c r="T230" i="5" s="1"/>
  <c r="S54" i="5"/>
  <c r="S50" i="5"/>
  <c r="I124" i="5"/>
  <c r="T124" i="5"/>
  <c r="Y174" i="5"/>
  <c r="AK195" i="5"/>
  <c r="AK139" i="5"/>
  <c r="AK89" i="5"/>
  <c r="AG139" i="5"/>
  <c r="AG89" i="5"/>
  <c r="R96" i="16"/>
  <c r="AG99" i="5"/>
  <c r="AG149" i="5"/>
  <c r="AI165" i="5"/>
  <c r="AI221" i="5"/>
  <c r="AI115" i="5"/>
  <c r="AG146" i="5"/>
  <c r="AG96" i="5"/>
  <c r="AB159" i="5"/>
  <c r="AB109" i="5"/>
  <c r="K223" i="5"/>
  <c r="K167" i="5"/>
  <c r="K117" i="5"/>
  <c r="T29" i="19"/>
  <c r="Y29" i="19"/>
  <c r="T35" i="19"/>
  <c r="AH64" i="16"/>
  <c r="AH89" i="16"/>
  <c r="AI113" i="5"/>
  <c r="AI83" i="16"/>
  <c r="AC223" i="5"/>
  <c r="AC167" i="5"/>
  <c r="AC117" i="5"/>
  <c r="AC54" i="5"/>
  <c r="AC56" i="5"/>
  <c r="AC50" i="5"/>
  <c r="AH11" i="19"/>
  <c r="AI23" i="19" s="1"/>
  <c r="AH26" i="19"/>
  <c r="AH29" i="14"/>
  <c r="AH52" i="8"/>
  <c r="AH74" i="8" s="1"/>
  <c r="U223" i="5"/>
  <c r="U167" i="5"/>
  <c r="U117" i="5"/>
  <c r="Z167" i="5"/>
  <c r="V223" i="5"/>
  <c r="AL137" i="5"/>
  <c r="AL120" i="8" s="1"/>
  <c r="AL87" i="5"/>
  <c r="P223" i="5"/>
  <c r="P167" i="5"/>
  <c r="P117" i="5"/>
  <c r="AH197" i="5"/>
  <c r="AH141" i="5"/>
  <c r="AH91" i="5"/>
  <c r="AJ141" i="5"/>
  <c r="AJ197" i="5"/>
  <c r="AJ91" i="5"/>
  <c r="Q223" i="5"/>
  <c r="Q167" i="5"/>
  <c r="Q117" i="5"/>
  <c r="Q54" i="5"/>
  <c r="Q50" i="5"/>
  <c r="Q56" i="5"/>
  <c r="V167" i="5"/>
  <c r="AD35" i="19"/>
  <c r="AD29" i="19"/>
  <c r="AD23" i="19"/>
  <c r="W159" i="5"/>
  <c r="W109" i="5"/>
  <c r="R98" i="16"/>
  <c r="R66" i="5" s="1"/>
  <c r="R159" i="5"/>
  <c r="R109" i="5"/>
  <c r="AG152" i="5"/>
  <c r="AG102" i="5"/>
  <c r="AE23" i="19"/>
  <c r="X223" i="5"/>
  <c r="X167" i="5"/>
  <c r="X117" i="5"/>
  <c r="Y223" i="5"/>
  <c r="L223" i="5"/>
  <c r="L167" i="5"/>
  <c r="L117" i="5"/>
  <c r="T223" i="5"/>
  <c r="M98" i="16"/>
  <c r="M66" i="5" s="1"/>
  <c r="M81" i="12"/>
  <c r="M82" i="12" s="1"/>
  <c r="M65" i="5"/>
  <c r="M96" i="16"/>
  <c r="AG59" i="8"/>
  <c r="W26" i="19"/>
  <c r="W11" i="19"/>
  <c r="V8" i="19"/>
  <c r="AB26" i="19"/>
  <c r="R49" i="5"/>
  <c r="R42" i="5"/>
  <c r="AG16" i="5"/>
  <c r="AG9" i="19"/>
  <c r="AG8" i="19"/>
  <c r="AI90" i="16"/>
  <c r="AG32" i="5"/>
  <c r="AL30" i="8"/>
  <c r="AF60" i="8"/>
  <c r="AF112" i="8" s="1"/>
  <c r="AF38" i="5"/>
  <c r="X54" i="5"/>
  <c r="X56" i="5"/>
  <c r="X50" i="5"/>
  <c r="M78" i="8"/>
  <c r="M112" i="8"/>
  <c r="S61" i="12"/>
  <c r="T60" i="12" s="1"/>
  <c r="T61" i="12" s="1"/>
  <c r="U60" i="12" s="1"/>
  <c r="U61" i="12" s="1"/>
  <c r="V60" i="12" s="1"/>
  <c r="V61" i="12" s="1"/>
  <c r="X60" i="12" s="1"/>
  <c r="X61" i="12" s="1"/>
  <c r="Y60" i="12" s="1"/>
  <c r="Y61" i="12" s="1"/>
  <c r="Z60" i="12" s="1"/>
  <c r="Z61" i="12" s="1"/>
  <c r="AA60" i="12" s="1"/>
  <c r="AA61" i="12" s="1"/>
  <c r="AC60" i="12" s="1"/>
  <c r="AC61" i="12" s="1"/>
  <c r="AD60" i="12" s="1"/>
  <c r="AD61" i="12" s="1"/>
  <c r="AE60" i="12" s="1"/>
  <c r="K54" i="5"/>
  <c r="K56" i="5"/>
  <c r="K50" i="5"/>
  <c r="I63" i="16"/>
  <c r="I59" i="5"/>
  <c r="T63" i="16"/>
  <c r="T73" i="16" s="1"/>
  <c r="T59" i="5"/>
  <c r="AK27" i="14"/>
  <c r="AK26" i="14"/>
  <c r="AL14" i="5"/>
  <c r="AK59" i="8"/>
  <c r="R78" i="8"/>
  <c r="R112" i="8"/>
  <c r="AI35" i="19"/>
  <c r="AI29" i="19"/>
  <c r="AJ23" i="19"/>
  <c r="AH15" i="16"/>
  <c r="AH14" i="16"/>
  <c r="AB49" i="5"/>
  <c r="AB42" i="5"/>
  <c r="L20" i="19"/>
  <c r="L14" i="19"/>
  <c r="L26" i="19"/>
  <c r="N20" i="19"/>
  <c r="P56" i="5"/>
  <c r="P54" i="5"/>
  <c r="P50" i="5"/>
  <c r="AG27" i="14"/>
  <c r="AG26" i="14"/>
  <c r="AG35" i="14"/>
  <c r="AG22" i="5"/>
  <c r="AG37" i="5"/>
  <c r="AF49" i="5"/>
  <c r="AF42" i="5"/>
  <c r="AA56" i="5"/>
  <c r="AA54" i="5"/>
  <c r="AA50" i="5"/>
  <c r="M49" i="5"/>
  <c r="M42" i="5"/>
  <c r="H112" i="8"/>
  <c r="H78" i="8"/>
  <c r="W42" i="5"/>
  <c r="W49" i="5"/>
  <c r="U56" i="5"/>
  <c r="U54" i="5"/>
  <c r="U50" i="5"/>
  <c r="AK16" i="5"/>
  <c r="AK18" i="5" s="1"/>
  <c r="AK78" i="12"/>
  <c r="AK79" i="12"/>
  <c r="AK38" i="16"/>
  <c r="AK42" i="16" s="1"/>
  <c r="AL34" i="19"/>
  <c r="AL34" i="14"/>
  <c r="AL8" i="16"/>
  <c r="AG21" i="6"/>
  <c r="AL58" i="8"/>
  <c r="AL36" i="16"/>
  <c r="AL77" i="12"/>
  <c r="AL78" i="12" s="1"/>
  <c r="AL100" i="16"/>
  <c r="V9" i="19"/>
  <c r="W27" i="19"/>
  <c r="AB27" i="19"/>
  <c r="AJ64" i="16"/>
  <c r="AJ89" i="16"/>
  <c r="AJ9" i="16"/>
  <c r="AG27" i="5"/>
  <c r="AG38" i="16"/>
  <c r="AG42" i="16" s="1"/>
  <c r="AF52" i="8"/>
  <c r="AF74" i="8" s="1"/>
  <c r="AG9" i="8"/>
  <c r="AG69" i="8" s="1"/>
  <c r="L54" i="5"/>
  <c r="L50" i="5"/>
  <c r="L56" i="5"/>
  <c r="AQ22" i="6"/>
  <c r="AY22" i="6"/>
  <c r="Q24" i="6"/>
  <c r="AG22" i="6"/>
  <c r="BC22" i="6"/>
  <c r="U24" i="6"/>
  <c r="AU22" i="6"/>
  <c r="E24" i="6"/>
  <c r="L28" i="25" l="1"/>
  <c r="O63" i="16"/>
  <c r="O73" i="16" s="1"/>
  <c r="O74" i="16" s="1"/>
  <c r="T174" i="5"/>
  <c r="O59" i="5"/>
  <c r="J23" i="6" s="1"/>
  <c r="O230" i="5"/>
  <c r="G17" i="19"/>
  <c r="BR34" i="14"/>
  <c r="BR26" i="14" s="1"/>
  <c r="BR69" i="19"/>
  <c r="G59" i="5"/>
  <c r="G233" i="5" s="1"/>
  <c r="G124" i="5"/>
  <c r="G63" i="16"/>
  <c r="G73" i="16" s="1"/>
  <c r="G74" i="16" s="1"/>
  <c r="AY181" i="16"/>
  <c r="AZ181" i="16"/>
  <c r="BW9" i="5"/>
  <c r="S20" i="19"/>
  <c r="F63" i="16"/>
  <c r="F73" i="16" s="1"/>
  <c r="F74" i="16" s="1"/>
  <c r="Q26" i="19"/>
  <c r="F124" i="5"/>
  <c r="Q14" i="19"/>
  <c r="Q17" i="19" s="1"/>
  <c r="Q20" i="19"/>
  <c r="Z230" i="5"/>
  <c r="AE50" i="5"/>
  <c r="O174" i="5"/>
  <c r="AD54" i="5"/>
  <c r="AD50" i="5"/>
  <c r="AD117" i="5"/>
  <c r="AD56" i="5"/>
  <c r="AD63" i="16" s="1"/>
  <c r="AD73" i="16" s="1"/>
  <c r="BD177" i="16"/>
  <c r="BD178" i="16"/>
  <c r="BH174" i="16"/>
  <c r="BH176" i="16" s="1"/>
  <c r="BH162" i="16"/>
  <c r="BH163" i="16" s="1"/>
  <c r="BC177" i="16"/>
  <c r="BC166" i="16"/>
  <c r="AY178" i="16"/>
  <c r="AZ178" i="16"/>
  <c r="AY167" i="16"/>
  <c r="AZ167" i="16"/>
  <c r="F230" i="5"/>
  <c r="G230" i="5"/>
  <c r="G21" i="19"/>
  <c r="I21" i="19"/>
  <c r="BI11" i="5"/>
  <c r="BH9" i="14"/>
  <c r="AD223" i="5"/>
  <c r="G11" i="19"/>
  <c r="G23" i="19" s="1"/>
  <c r="J63" i="16"/>
  <c r="J73" i="16" s="1"/>
  <c r="J74" i="16" s="1"/>
  <c r="Z63" i="16"/>
  <c r="Z73" i="16" s="1"/>
  <c r="BH16" i="5"/>
  <c r="J124" i="5"/>
  <c r="Z124" i="5"/>
  <c r="J174" i="5"/>
  <c r="BD116" i="16"/>
  <c r="BD162" i="16"/>
  <c r="BD163" i="16" s="1"/>
  <c r="BH108" i="16"/>
  <c r="BR17" i="16"/>
  <c r="BR137" i="5"/>
  <c r="BR120" i="8" s="1"/>
  <c r="BR100" i="16"/>
  <c r="BR113" i="5"/>
  <c r="BR77" i="12"/>
  <c r="BS79" i="12" s="1"/>
  <c r="BR107" i="16"/>
  <c r="BR8" i="16"/>
  <c r="BM21" i="6"/>
  <c r="BR36" i="16"/>
  <c r="BR87" i="5"/>
  <c r="BR114" i="5"/>
  <c r="AG42" i="5"/>
  <c r="AG109" i="5"/>
  <c r="AG159" i="5"/>
  <c r="BD71" i="8"/>
  <c r="BD85" i="8"/>
  <c r="BD95" i="8"/>
  <c r="BD27" i="14"/>
  <c r="BD26" i="14"/>
  <c r="BH89" i="16"/>
  <c r="BF9" i="5"/>
  <c r="J230" i="5"/>
  <c r="AZ38" i="16"/>
  <c r="AZ42" i="16" s="1"/>
  <c r="AZ120" i="8"/>
  <c r="AZ121" i="8" s="1"/>
  <c r="AZ95" i="8"/>
  <c r="AZ85" i="8"/>
  <c r="AZ71" i="8"/>
  <c r="BI77" i="12"/>
  <c r="BI79" i="12" s="1"/>
  <c r="BI107" i="16"/>
  <c r="BI162" i="16" s="1"/>
  <c r="BI163" i="16" s="1"/>
  <c r="BM34" i="14"/>
  <c r="BM69" i="19"/>
  <c r="BI36" i="16"/>
  <c r="BI34" i="14"/>
  <c r="BI9" i="14" s="1"/>
  <c r="BI69" i="19"/>
  <c r="BI44" i="19" s="1"/>
  <c r="BH49" i="19"/>
  <c r="BH26" i="14"/>
  <c r="BI58" i="8"/>
  <c r="BI17" i="16"/>
  <c r="BM107" i="16"/>
  <c r="BM8" i="16"/>
  <c r="BM58" i="8"/>
  <c r="BM36" i="16"/>
  <c r="BM17" i="16"/>
  <c r="BM77" i="12"/>
  <c r="BM100" i="16"/>
  <c r="BI8" i="16"/>
  <c r="BI100" i="16"/>
  <c r="BL18" i="16"/>
  <c r="BD16" i="5"/>
  <c r="BD21" i="6"/>
  <c r="BM137" i="5"/>
  <c r="BH21" i="6"/>
  <c r="BM87" i="5"/>
  <c r="BM113" i="5"/>
  <c r="BM114" i="5"/>
  <c r="BH18" i="5"/>
  <c r="BH59" i="8"/>
  <c r="BG18" i="16"/>
  <c r="BH19" i="16" s="1"/>
  <c r="BG45" i="16"/>
  <c r="AG52" i="19"/>
  <c r="BH52" i="8"/>
  <c r="BH74" i="8" s="1"/>
  <c r="BH38" i="16"/>
  <c r="BH42" i="16" s="1"/>
  <c r="BD79" i="12"/>
  <c r="BD108" i="16"/>
  <c r="BC114" i="16"/>
  <c r="AZ21" i="6"/>
  <c r="BH139" i="5"/>
  <c r="BH89" i="5"/>
  <c r="BI193" i="5"/>
  <c r="BI137" i="5"/>
  <c r="BI87" i="5"/>
  <c r="BI113" i="5"/>
  <c r="BI114" i="5"/>
  <c r="AL52" i="19"/>
  <c r="AE56" i="5"/>
  <c r="AE54" i="5"/>
  <c r="AE117" i="5"/>
  <c r="AE223" i="5"/>
  <c r="AY17" i="14"/>
  <c r="AT17" i="14"/>
  <c r="AT35" i="14"/>
  <c r="AQ71" i="8"/>
  <c r="BA19" i="8"/>
  <c r="BA14" i="8"/>
  <c r="BC52" i="19"/>
  <c r="AY27" i="19"/>
  <c r="BD78" i="12"/>
  <c r="BC27" i="19"/>
  <c r="BC91" i="5"/>
  <c r="BD8" i="19"/>
  <c r="BD9" i="19" s="1"/>
  <c r="BD21" i="19" s="1"/>
  <c r="BD38" i="16"/>
  <c r="BD42" i="16" s="1"/>
  <c r="BD35" i="14"/>
  <c r="BD50" i="19"/>
  <c r="BD70" i="19"/>
  <c r="BC116" i="16"/>
  <c r="BC52" i="8"/>
  <c r="BC74" i="8" s="1"/>
  <c r="BC11" i="19"/>
  <c r="BC29" i="19" s="1"/>
  <c r="BC26" i="19"/>
  <c r="BE193" i="5"/>
  <c r="BE36" i="16"/>
  <c r="BE8" i="16"/>
  <c r="BE34" i="19"/>
  <c r="BE11" i="5"/>
  <c r="BE100" i="16"/>
  <c r="BE58" i="8"/>
  <c r="BE69" i="19"/>
  <c r="BE34" i="14"/>
  <c r="BE107" i="16"/>
  <c r="BE17" i="16"/>
  <c r="BE77" i="12"/>
  <c r="BE113" i="5"/>
  <c r="BE137" i="5"/>
  <c r="BE120" i="8" s="1"/>
  <c r="BE121" i="8" s="1"/>
  <c r="BE87" i="5"/>
  <c r="BE114" i="5"/>
  <c r="BD109" i="16"/>
  <c r="AZ79" i="12"/>
  <c r="AX35" i="19"/>
  <c r="AZ9" i="19"/>
  <c r="AY21" i="19"/>
  <c r="AX17" i="14"/>
  <c r="AT23" i="14"/>
  <c r="AS23" i="14"/>
  <c r="AS17" i="14"/>
  <c r="AS35" i="14"/>
  <c r="AU23" i="14"/>
  <c r="AW23" i="14"/>
  <c r="AU17" i="14"/>
  <c r="AY64" i="16"/>
  <c r="AV70" i="19"/>
  <c r="AV50" i="19"/>
  <c r="AV52" i="19" s="1"/>
  <c r="AV68" i="16"/>
  <c r="AV32" i="12"/>
  <c r="AX29" i="19"/>
  <c r="AY52" i="8"/>
  <c r="AY74" i="8" s="1"/>
  <c r="AY52" i="19"/>
  <c r="AZ78" i="12"/>
  <c r="BA9" i="8"/>
  <c r="AU52" i="19"/>
  <c r="AQ52" i="19"/>
  <c r="AZ50" i="19"/>
  <c r="AZ70" i="19"/>
  <c r="AZ49" i="19"/>
  <c r="AR38" i="12"/>
  <c r="AD70" i="12"/>
  <c r="AU38" i="12"/>
  <c r="AY23" i="19"/>
  <c r="AY35" i="19"/>
  <c r="AT23" i="19"/>
  <c r="AY29" i="19"/>
  <c r="F233" i="5"/>
  <c r="AV78" i="12"/>
  <c r="AV113" i="16"/>
  <c r="AV108" i="16"/>
  <c r="AT29" i="19"/>
  <c r="AT35" i="19"/>
  <c r="AD71" i="12"/>
  <c r="AD68" i="5" s="1"/>
  <c r="AD67" i="5"/>
  <c r="AD69" i="12"/>
  <c r="AL116" i="16"/>
  <c r="AL108" i="16"/>
  <c r="AK105" i="8"/>
  <c r="AL85" i="8"/>
  <c r="AL95" i="8"/>
  <c r="AB136" i="5"/>
  <c r="AB86" i="5"/>
  <c r="AH136" i="5"/>
  <c r="AH86" i="5"/>
  <c r="AH192" i="5"/>
  <c r="M136" i="5"/>
  <c r="M86" i="5"/>
  <c r="AF136" i="5"/>
  <c r="AF192" i="5"/>
  <c r="AF86" i="5"/>
  <c r="AS23" i="19"/>
  <c r="AR29" i="19"/>
  <c r="AR35" i="19"/>
  <c r="W136" i="5"/>
  <c r="R136" i="5"/>
  <c r="AK17" i="14"/>
  <c r="AK23" i="14"/>
  <c r="AP17" i="14"/>
  <c r="AM23" i="14"/>
  <c r="AN16" i="5"/>
  <c r="AN18" i="5" s="1"/>
  <c r="AN139" i="5"/>
  <c r="AN59" i="8"/>
  <c r="AN89" i="5"/>
  <c r="AU29" i="14"/>
  <c r="AV83" i="8"/>
  <c r="AV94" i="8"/>
  <c r="AV27" i="14"/>
  <c r="AV26" i="14"/>
  <c r="AV35" i="14"/>
  <c r="AR65" i="12"/>
  <c r="AV18" i="12"/>
  <c r="AU52" i="8"/>
  <c r="AU74" i="8" s="1"/>
  <c r="AV120" i="8"/>
  <c r="AV38" i="16"/>
  <c r="AV42" i="16" s="1"/>
  <c r="AV11" i="12"/>
  <c r="AU65" i="12"/>
  <c r="AI205" i="5"/>
  <c r="AC21" i="19"/>
  <c r="AI33" i="5"/>
  <c r="AA11" i="19"/>
  <c r="AA23" i="19" s="1"/>
  <c r="AJ202" i="5"/>
  <c r="AJ146" i="5"/>
  <c r="AJ23" i="5"/>
  <c r="AJ96" i="5"/>
  <c r="AJ22" i="5"/>
  <c r="AE68" i="12"/>
  <c r="AJ45" i="16"/>
  <c r="AJ47" i="16"/>
  <c r="AJ51" i="16" s="1"/>
  <c r="AI47" i="16"/>
  <c r="AI51" i="16" s="1"/>
  <c r="AI45" i="16"/>
  <c r="AI9" i="16"/>
  <c r="AJ10" i="16" s="1"/>
  <c r="AJ12" i="16" s="1"/>
  <c r="AJ131" i="8" s="1"/>
  <c r="AG133" i="8"/>
  <c r="O82" i="12"/>
  <c r="AH156" i="5"/>
  <c r="AH38" i="5"/>
  <c r="AH60" i="8"/>
  <c r="AH212" i="5"/>
  <c r="AH41" i="5"/>
  <c r="AH49" i="5" s="1"/>
  <c r="AI37" i="5"/>
  <c r="AI156" i="5" s="1"/>
  <c r="AI149" i="5"/>
  <c r="AI28" i="5"/>
  <c r="AI27" i="5"/>
  <c r="AI99" i="5"/>
  <c r="AI208" i="5"/>
  <c r="AI152" i="5"/>
  <c r="AI102" i="5"/>
  <c r="AI32" i="5"/>
  <c r="AF78" i="8"/>
  <c r="AA15" i="19"/>
  <c r="AA17" i="19" s="1"/>
  <c r="I73" i="16"/>
  <c r="I74" i="16" s="1"/>
  <c r="H50" i="5"/>
  <c r="AJ220" i="5"/>
  <c r="AJ164" i="5"/>
  <c r="AJ114" i="5"/>
  <c r="H56" i="5"/>
  <c r="H124" i="5" s="1"/>
  <c r="Y73" i="16"/>
  <c r="Y71" i="16" s="1"/>
  <c r="AG71" i="8"/>
  <c r="AG72" i="8"/>
  <c r="L83" i="12"/>
  <c r="Q82" i="12"/>
  <c r="H54" i="5"/>
  <c r="AE98" i="16"/>
  <c r="AE66" i="5" s="1"/>
  <c r="G83" i="12"/>
  <c r="AJ208" i="5"/>
  <c r="T23" i="6"/>
  <c r="Z233" i="5"/>
  <c r="L82" i="12"/>
  <c r="S82" i="12"/>
  <c r="X82" i="12"/>
  <c r="AQ29" i="14"/>
  <c r="AA82" i="12"/>
  <c r="V83" i="12"/>
  <c r="AE81" i="12"/>
  <c r="AE82" i="12" s="1"/>
  <c r="AC82" i="12"/>
  <c r="AE65" i="5"/>
  <c r="AQ68" i="16"/>
  <c r="AE97" i="16"/>
  <c r="AL16" i="5"/>
  <c r="AL91" i="5" s="1"/>
  <c r="AR20" i="19"/>
  <c r="D124" i="5"/>
  <c r="D63" i="16"/>
  <c r="E230" i="5"/>
  <c r="D59" i="5"/>
  <c r="E233" i="5" s="1"/>
  <c r="I174" i="5"/>
  <c r="J177" i="5"/>
  <c r="Z83" i="12"/>
  <c r="Z82" i="12"/>
  <c r="AQ78" i="12"/>
  <c r="AM29" i="19"/>
  <c r="AQ38" i="16"/>
  <c r="AR21" i="19"/>
  <c r="AG14" i="16"/>
  <c r="AM9" i="16"/>
  <c r="AN10" i="16" s="1"/>
  <c r="AQ21" i="8"/>
  <c r="AL36" i="8"/>
  <c r="AO42" i="16"/>
  <c r="P83" i="12"/>
  <c r="V82" i="12"/>
  <c r="Q83" i="12"/>
  <c r="U82" i="12"/>
  <c r="AD65" i="5"/>
  <c r="AD81" i="12"/>
  <c r="AD96" i="16"/>
  <c r="AD98" i="16"/>
  <c r="AD66" i="5" s="1"/>
  <c r="G15" i="16"/>
  <c r="L14" i="16"/>
  <c r="I14" i="16"/>
  <c r="J15" i="16"/>
  <c r="N14" i="16"/>
  <c r="I15" i="16"/>
  <c r="R29" i="19"/>
  <c r="M29" i="19"/>
  <c r="AB82" i="12"/>
  <c r="Y82" i="12"/>
  <c r="N21" i="19"/>
  <c r="AJ180" i="5"/>
  <c r="AJ236" i="5"/>
  <c r="AJ61" i="8"/>
  <c r="V74" i="16"/>
  <c r="V71" i="16"/>
  <c r="L15" i="19"/>
  <c r="L17" i="19" s="1"/>
  <c r="L11" i="19"/>
  <c r="N23" i="19" s="1"/>
  <c r="L27" i="19"/>
  <c r="T83" i="12"/>
  <c r="Q27" i="19"/>
  <c r="T82" i="12"/>
  <c r="R82" i="12"/>
  <c r="W82" i="12"/>
  <c r="Q23" i="19"/>
  <c r="Q35" i="19"/>
  <c r="S23" i="19"/>
  <c r="AH35" i="19"/>
  <c r="AH29" i="19"/>
  <c r="AJ113" i="5"/>
  <c r="AJ83" i="16"/>
  <c r="AM163" i="5"/>
  <c r="S230" i="5"/>
  <c r="S174" i="5"/>
  <c r="S124" i="5"/>
  <c r="S59" i="5"/>
  <c r="T233" i="5" s="1"/>
  <c r="S63" i="16"/>
  <c r="S73" i="16" s="1"/>
  <c r="U174" i="5"/>
  <c r="U230" i="5"/>
  <c r="U124" i="5"/>
  <c r="V230" i="5"/>
  <c r="Z174" i="5"/>
  <c r="AA230" i="5"/>
  <c r="AA174" i="5"/>
  <c r="AA124" i="5"/>
  <c r="AL139" i="5"/>
  <c r="AL89" i="5"/>
  <c r="AK197" i="5"/>
  <c r="AK141" i="5"/>
  <c r="AK91" i="5"/>
  <c r="W167" i="5"/>
  <c r="W117" i="5"/>
  <c r="P174" i="5"/>
  <c r="P230" i="5"/>
  <c r="P124" i="5"/>
  <c r="AB167" i="5"/>
  <c r="AB117" i="5"/>
  <c r="AK29" i="14"/>
  <c r="J233" i="5"/>
  <c r="K230" i="5"/>
  <c r="K174" i="5"/>
  <c r="K124" i="5"/>
  <c r="X174" i="5"/>
  <c r="X230" i="5"/>
  <c r="X124" i="5"/>
  <c r="Y230" i="5"/>
  <c r="Q230" i="5"/>
  <c r="Q174" i="5"/>
  <c r="Q124" i="5"/>
  <c r="Q63" i="16"/>
  <c r="Q73" i="16" s="1"/>
  <c r="Q59" i="5"/>
  <c r="V174" i="5"/>
  <c r="AC230" i="5"/>
  <c r="AC174" i="5"/>
  <c r="AC124" i="5"/>
  <c r="AC63" i="16"/>
  <c r="AC73" i="16" s="1"/>
  <c r="AC59" i="5"/>
  <c r="AG106" i="5"/>
  <c r="AG156" i="5"/>
  <c r="Y177" i="5"/>
  <c r="N230" i="5"/>
  <c r="N174" i="5"/>
  <c r="N124" i="5"/>
  <c r="N63" i="16"/>
  <c r="N59" i="5"/>
  <c r="L174" i="5"/>
  <c r="L230" i="5"/>
  <c r="L124" i="5"/>
  <c r="AJ165" i="5"/>
  <c r="AJ221" i="5"/>
  <c r="AJ115" i="5"/>
  <c r="R167" i="5"/>
  <c r="R117" i="5"/>
  <c r="M167" i="5"/>
  <c r="M117" i="5"/>
  <c r="AF223" i="5"/>
  <c r="AF167" i="5"/>
  <c r="AF117" i="5"/>
  <c r="AG91" i="5"/>
  <c r="AG141" i="5"/>
  <c r="AG167" i="5"/>
  <c r="AG117" i="5"/>
  <c r="AG15" i="8"/>
  <c r="AL82" i="8" s="1"/>
  <c r="AK10" i="16"/>
  <c r="AA59" i="5"/>
  <c r="AA63" i="16"/>
  <c r="AA73" i="16" s="1"/>
  <c r="L59" i="5"/>
  <c r="L63" i="16"/>
  <c r="X21" i="19"/>
  <c r="V15" i="19"/>
  <c r="V21" i="19"/>
  <c r="AA27" i="19"/>
  <c r="V27" i="19"/>
  <c r="AL9" i="19"/>
  <c r="AQ27" i="19" s="1"/>
  <c r="AL8" i="19"/>
  <c r="W50" i="5"/>
  <c r="W56" i="5"/>
  <c r="W54" i="5"/>
  <c r="AG29" i="14"/>
  <c r="AJ53" i="8"/>
  <c r="AJ108" i="8" s="1"/>
  <c r="AG27" i="8"/>
  <c r="AF53" i="8"/>
  <c r="AF108" i="8" s="1"/>
  <c r="T74" i="16"/>
  <c r="T71" i="16"/>
  <c r="X59" i="5"/>
  <c r="X63" i="16"/>
  <c r="X73" i="16" s="1"/>
  <c r="AG18" i="5"/>
  <c r="R50" i="5"/>
  <c r="R54" i="5"/>
  <c r="R56" i="5"/>
  <c r="AK89" i="16"/>
  <c r="AK64" i="16"/>
  <c r="U63" i="16"/>
  <c r="U73" i="16" s="1"/>
  <c r="U59" i="5"/>
  <c r="AF50" i="5"/>
  <c r="AH53" i="8"/>
  <c r="AH108" i="8" s="1"/>
  <c r="AK52" i="8"/>
  <c r="AK74" i="8" s="1"/>
  <c r="AL9" i="8"/>
  <c r="O23" i="6"/>
  <c r="K59" i="5"/>
  <c r="K63" i="16"/>
  <c r="AJ90" i="16"/>
  <c r="AG11" i="19"/>
  <c r="AG26" i="19"/>
  <c r="AF8" i="19"/>
  <c r="X20" i="19"/>
  <c r="V26" i="19"/>
  <c r="V14" i="19"/>
  <c r="V11" i="19"/>
  <c r="V20" i="19"/>
  <c r="AA26" i="19"/>
  <c r="AL38" i="16"/>
  <c r="AL42" i="16" s="1"/>
  <c r="M50" i="5"/>
  <c r="M56" i="5"/>
  <c r="M54" i="5"/>
  <c r="AG38" i="5"/>
  <c r="AG60" i="8"/>
  <c r="AG18" i="8"/>
  <c r="AL93" i="8" s="1"/>
  <c r="AG52" i="8"/>
  <c r="AG74" i="8" s="1"/>
  <c r="AL35" i="8"/>
  <c r="AL26" i="14"/>
  <c r="AL27" i="14"/>
  <c r="AL35" i="14"/>
  <c r="P63" i="16"/>
  <c r="P59" i="5"/>
  <c r="AB54" i="5"/>
  <c r="AB50" i="5"/>
  <c r="AB56" i="5"/>
  <c r="AG10" i="8"/>
  <c r="AG76" i="8" s="1"/>
  <c r="AL59" i="8"/>
  <c r="D23" i="6"/>
  <c r="AF9" i="19"/>
  <c r="AG27" i="19"/>
  <c r="W35" i="19"/>
  <c r="W29" i="19"/>
  <c r="AB29" i="19"/>
  <c r="AZ22" i="6"/>
  <c r="BD22" i="6"/>
  <c r="BH22" i="6"/>
  <c r="T24" i="6"/>
  <c r="O24" i="6"/>
  <c r="D24" i="6"/>
  <c r="J24" i="6"/>
  <c r="BM22" i="6"/>
  <c r="N28" i="25" l="1"/>
  <c r="BR49" i="19"/>
  <c r="BR50" i="19"/>
  <c r="T177" i="5"/>
  <c r="CB9" i="5"/>
  <c r="CB8" i="16" s="1"/>
  <c r="O177" i="5"/>
  <c r="BR27" i="14"/>
  <c r="BR29" i="14" s="1"/>
  <c r="BR35" i="14"/>
  <c r="G17" i="25"/>
  <c r="I233" i="5"/>
  <c r="BW34" i="14"/>
  <c r="BW27" i="14" s="1"/>
  <c r="BW69" i="19"/>
  <c r="BR70" i="19"/>
  <c r="BW16" i="5"/>
  <c r="BW11" i="5"/>
  <c r="BW17" i="16"/>
  <c r="BW113" i="5"/>
  <c r="BW114" i="5"/>
  <c r="BW193" i="5"/>
  <c r="BR21" i="6"/>
  <c r="BW100" i="16"/>
  <c r="BW107" i="16"/>
  <c r="BW108" i="16" s="1"/>
  <c r="BW87" i="5"/>
  <c r="BW8" i="16"/>
  <c r="BW36" i="16"/>
  <c r="BW58" i="8"/>
  <c r="BW9" i="8" s="1"/>
  <c r="BW18" i="12" s="1"/>
  <c r="BW115" i="5"/>
  <c r="BW137" i="5"/>
  <c r="BW120" i="8" s="1"/>
  <c r="BW77" i="12"/>
  <c r="BW79" i="12" s="1"/>
  <c r="AD59" i="5"/>
  <c r="AD177" i="5" s="1"/>
  <c r="AD174" i="5"/>
  <c r="BM95" i="8"/>
  <c r="BM85" i="8"/>
  <c r="BM174" i="16"/>
  <c r="BM176" i="16" s="1"/>
  <c r="BM162" i="16"/>
  <c r="BM163" i="16" s="1"/>
  <c r="AD124" i="5"/>
  <c r="AD230" i="5"/>
  <c r="AE230" i="5"/>
  <c r="BI167" i="16"/>
  <c r="BI166" i="16"/>
  <c r="BI95" i="8"/>
  <c r="BI85" i="8"/>
  <c r="BH166" i="16"/>
  <c r="BH27" i="14"/>
  <c r="BH29" i="14" s="1"/>
  <c r="BJ9" i="14"/>
  <c r="BH177" i="16"/>
  <c r="BI15" i="14"/>
  <c r="BI11" i="14"/>
  <c r="BI35" i="14" s="1"/>
  <c r="BD166" i="16"/>
  <c r="BD167" i="16"/>
  <c r="I23" i="19"/>
  <c r="BI21" i="14"/>
  <c r="BH21" i="14"/>
  <c r="BM15" i="14"/>
  <c r="BM14" i="14"/>
  <c r="BH14" i="14"/>
  <c r="BI20" i="14"/>
  <c r="BH20" i="14"/>
  <c r="BH11" i="14"/>
  <c r="H59" i="5"/>
  <c r="BI18" i="5"/>
  <c r="BH53" i="8"/>
  <c r="BH108" i="8" s="1"/>
  <c r="BH105" i="8"/>
  <c r="AE59" i="5"/>
  <c r="AE177" i="5" s="1"/>
  <c r="AE63" i="16"/>
  <c r="AE73" i="16" s="1"/>
  <c r="AE74" i="16" s="1"/>
  <c r="G35" i="19"/>
  <c r="AE124" i="5"/>
  <c r="BI108" i="16"/>
  <c r="BI174" i="16"/>
  <c r="BI176" i="16" s="1"/>
  <c r="BE162" i="16"/>
  <c r="BE163" i="16" s="1"/>
  <c r="BE174" i="16"/>
  <c r="BE176" i="16" s="1"/>
  <c r="Z74" i="16"/>
  <c r="Z71" i="16"/>
  <c r="AE174" i="5"/>
  <c r="AH42" i="5"/>
  <c r="BQ47" i="16"/>
  <c r="BQ51" i="16" s="1"/>
  <c r="BR139" i="5"/>
  <c r="BR89" i="5"/>
  <c r="BR38" i="16"/>
  <c r="BR42" i="16" s="1"/>
  <c r="BR108" i="16"/>
  <c r="BR91" i="5"/>
  <c r="BR78" i="12"/>
  <c r="AH109" i="5"/>
  <c r="BE71" i="8"/>
  <c r="BE95" i="8"/>
  <c r="BE85" i="8"/>
  <c r="AH159" i="5"/>
  <c r="AH215" i="5"/>
  <c r="BF44" i="19"/>
  <c r="BF43" i="19"/>
  <c r="BE18" i="5"/>
  <c r="BH116" i="16"/>
  <c r="BH64" i="16"/>
  <c r="BH114" i="16"/>
  <c r="BJ11" i="5"/>
  <c r="BI78" i="12"/>
  <c r="BI109" i="16"/>
  <c r="BJ107" i="16"/>
  <c r="BJ58" i="8"/>
  <c r="BI69" i="8"/>
  <c r="BN72" i="8" s="1"/>
  <c r="BN34" i="14"/>
  <c r="BN9" i="14" s="1"/>
  <c r="BS15" i="14" s="1"/>
  <c r="BN69" i="19"/>
  <c r="BN44" i="19" s="1"/>
  <c r="BS62" i="19" s="1"/>
  <c r="BN11" i="5"/>
  <c r="BI49" i="19"/>
  <c r="BI26" i="14"/>
  <c r="BI27" i="14"/>
  <c r="BM70" i="19"/>
  <c r="BJ77" i="12"/>
  <c r="BJ79" i="12" s="1"/>
  <c r="BJ34" i="14"/>
  <c r="BJ69" i="19"/>
  <c r="BM26" i="14"/>
  <c r="BM27" i="14"/>
  <c r="BM35" i="14"/>
  <c r="BJ36" i="16"/>
  <c r="BM78" i="12"/>
  <c r="BM120" i="8"/>
  <c r="BM38" i="16"/>
  <c r="BM42" i="16" s="1"/>
  <c r="BJ8" i="16"/>
  <c r="BM16" i="5"/>
  <c r="BM59" i="8"/>
  <c r="BJ17" i="16"/>
  <c r="BJ100" i="16"/>
  <c r="BN193" i="5"/>
  <c r="BN58" i="8"/>
  <c r="BN36" i="16"/>
  <c r="BN77" i="12"/>
  <c r="BS78" i="12" s="1"/>
  <c r="BN100" i="16"/>
  <c r="BN107" i="16"/>
  <c r="BN8" i="16"/>
  <c r="BN17" i="16"/>
  <c r="BM108" i="16"/>
  <c r="BL45" i="16"/>
  <c r="BM19" i="16"/>
  <c r="BL116" i="8"/>
  <c r="BQ119" i="8" s="1"/>
  <c r="AW47" i="16"/>
  <c r="AW51" i="16" s="1"/>
  <c r="BE16" i="5"/>
  <c r="BE21" i="6"/>
  <c r="BN137" i="5"/>
  <c r="BN120" i="8" s="1"/>
  <c r="BI21" i="6"/>
  <c r="BN87" i="5"/>
  <c r="BN113" i="5"/>
  <c r="BN114" i="5"/>
  <c r="BI16" i="5"/>
  <c r="BM139" i="5"/>
  <c r="BM18" i="5"/>
  <c r="BM89" i="5"/>
  <c r="BF14" i="8"/>
  <c r="BF19" i="8"/>
  <c r="BI65" i="12"/>
  <c r="BI120" i="8"/>
  <c r="BI38" i="16"/>
  <c r="BI42" i="16" s="1"/>
  <c r="BE79" i="12"/>
  <c r="BH91" i="5"/>
  <c r="BH141" i="5"/>
  <c r="BJ137" i="5"/>
  <c r="BJ120" i="8" s="1"/>
  <c r="BJ121" i="8" s="1"/>
  <c r="BJ87" i="5"/>
  <c r="BJ193" i="5"/>
  <c r="BJ113" i="5"/>
  <c r="BJ114" i="5"/>
  <c r="AZ89" i="16"/>
  <c r="BA21" i="8"/>
  <c r="BA8" i="8"/>
  <c r="BE78" i="12"/>
  <c r="BD29" i="14"/>
  <c r="BD52" i="8"/>
  <c r="BD74" i="8" s="1"/>
  <c r="BE109" i="16"/>
  <c r="BE108" i="16"/>
  <c r="BD20" i="19"/>
  <c r="BD11" i="19"/>
  <c r="BD26" i="19"/>
  <c r="BD89" i="16"/>
  <c r="BC38" i="12"/>
  <c r="BC65" i="12"/>
  <c r="BC35" i="19"/>
  <c r="BE38" i="16"/>
  <c r="BE42" i="16" s="1"/>
  <c r="BC53" i="8"/>
  <c r="BC108" i="8" s="1"/>
  <c r="BD52" i="19"/>
  <c r="BD27" i="19"/>
  <c r="BE8" i="19"/>
  <c r="BD65" i="12"/>
  <c r="BD38" i="12"/>
  <c r="BA69" i="8"/>
  <c r="AV17" i="19"/>
  <c r="AZ52" i="8"/>
  <c r="AZ74" i="8" s="1"/>
  <c r="AZ52" i="19"/>
  <c r="AG103" i="8"/>
  <c r="AG106" i="8" s="1"/>
  <c r="AW38" i="12"/>
  <c r="AV89" i="16"/>
  <c r="AV116" i="16"/>
  <c r="AZ21" i="19"/>
  <c r="AV27" i="19"/>
  <c r="AV64" i="16"/>
  <c r="AX73" i="8"/>
  <c r="AW65" i="12"/>
  <c r="AN105" i="8"/>
  <c r="AA35" i="19"/>
  <c r="AL123" i="8"/>
  <c r="AL126" i="8"/>
  <c r="AL87" i="8"/>
  <c r="AL97" i="8"/>
  <c r="AQ52" i="8"/>
  <c r="AQ74" i="8" s="1"/>
  <c r="AL69" i="8"/>
  <c r="AQ72" i="8" s="1"/>
  <c r="AO18" i="16"/>
  <c r="AP19" i="16" s="1"/>
  <c r="AN18" i="16"/>
  <c r="AN195" i="5"/>
  <c r="AV11" i="19"/>
  <c r="AG136" i="5"/>
  <c r="AG86" i="5"/>
  <c r="AP16" i="5"/>
  <c r="AP18" i="5" s="1"/>
  <c r="AP139" i="5"/>
  <c r="AP89" i="5"/>
  <c r="AP59" i="8"/>
  <c r="AU26" i="19"/>
  <c r="AU20" i="19"/>
  <c r="AV85" i="8"/>
  <c r="AL45" i="5"/>
  <c r="AL113" i="5" s="1"/>
  <c r="AN91" i="5"/>
  <c r="AN141" i="5"/>
  <c r="AM195" i="5"/>
  <c r="AM139" i="5"/>
  <c r="AM59" i="8"/>
  <c r="AM16" i="5"/>
  <c r="AM18" i="5" s="1"/>
  <c r="AM89" i="5"/>
  <c r="AJ133" i="8"/>
  <c r="AN53" i="8"/>
  <c r="AN108" i="8" s="1"/>
  <c r="AO16" i="5"/>
  <c r="AO18" i="5" s="1"/>
  <c r="AO59" i="8"/>
  <c r="AO139" i="5"/>
  <c r="AO195" i="5"/>
  <c r="AO89" i="5"/>
  <c r="AP195" i="5"/>
  <c r="AQ14" i="5"/>
  <c r="AV29" i="14"/>
  <c r="AJ205" i="5"/>
  <c r="AJ152" i="5"/>
  <c r="AV65" i="12"/>
  <c r="AV38" i="12"/>
  <c r="AV95" i="8"/>
  <c r="AV69" i="8"/>
  <c r="AV52" i="8"/>
  <c r="AV74" i="8" s="1"/>
  <c r="AC23" i="19"/>
  <c r="AK202" i="5"/>
  <c r="AK22" i="5"/>
  <c r="AK23" i="5"/>
  <c r="AK146" i="5"/>
  <c r="AK96" i="5"/>
  <c r="AL21" i="5"/>
  <c r="AK9" i="16"/>
  <c r="AM10" i="16" s="1"/>
  <c r="AM12" i="16" s="1"/>
  <c r="AM131" i="8" s="1"/>
  <c r="AE70" i="12"/>
  <c r="AE71" i="12"/>
  <c r="AE68" i="5" s="1"/>
  <c r="AE67" i="5"/>
  <c r="AE69" i="12"/>
  <c r="AE65" i="8"/>
  <c r="AI12" i="16"/>
  <c r="AJ99" i="5"/>
  <c r="AJ102" i="5"/>
  <c r="AJ32" i="5"/>
  <c r="AJ149" i="5"/>
  <c r="AJ28" i="5"/>
  <c r="AJ27" i="5"/>
  <c r="AN45" i="16"/>
  <c r="AN47" i="16"/>
  <c r="AN51" i="16" s="1"/>
  <c r="AJ37" i="5"/>
  <c r="AJ106" i="5" s="1"/>
  <c r="AK45" i="16"/>
  <c r="AK47" i="16"/>
  <c r="AK51" i="16" s="1"/>
  <c r="AL29" i="8"/>
  <c r="AO47" i="16"/>
  <c r="AO51" i="16" s="1"/>
  <c r="AO45" i="16"/>
  <c r="AJ33" i="5"/>
  <c r="AH78" i="8"/>
  <c r="AH112" i="8"/>
  <c r="Y74" i="16"/>
  <c r="AI38" i="5"/>
  <c r="AI106" i="5"/>
  <c r="AI41" i="5"/>
  <c r="AI159" i="5" s="1"/>
  <c r="AI60" i="8"/>
  <c r="AI212" i="5"/>
  <c r="H63" i="16"/>
  <c r="H73" i="16" s="1"/>
  <c r="H74" i="16" s="1"/>
  <c r="P73" i="16"/>
  <c r="P74" i="16" s="1"/>
  <c r="D73" i="16"/>
  <c r="D74" i="16" s="1"/>
  <c r="AK164" i="5"/>
  <c r="AK114" i="5"/>
  <c r="AL46" i="5"/>
  <c r="AK220" i="5"/>
  <c r="L73" i="16"/>
  <c r="L74" i="16" s="1"/>
  <c r="K73" i="16"/>
  <c r="K74" i="16" s="1"/>
  <c r="N73" i="16"/>
  <c r="N74" i="16" s="1"/>
  <c r="AG100" i="8"/>
  <c r="AG90" i="8"/>
  <c r="AG78" i="8"/>
  <c r="AG79" i="8"/>
  <c r="AE83" i="12"/>
  <c r="AL141" i="5"/>
  <c r="AF56" i="5"/>
  <c r="AF174" i="5" s="1"/>
  <c r="AM61" i="8"/>
  <c r="AM236" i="5"/>
  <c r="AM180" i="5"/>
  <c r="AM221" i="5"/>
  <c r="AM165" i="5"/>
  <c r="AM115" i="5"/>
  <c r="AM90" i="16"/>
  <c r="AM83" i="16"/>
  <c r="AM113" i="5"/>
  <c r="AN163" i="5"/>
  <c r="AL89" i="16"/>
  <c r="AL18" i="5"/>
  <c r="AL64" i="16"/>
  <c r="I177" i="5"/>
  <c r="AP21" i="19"/>
  <c r="AP20" i="19"/>
  <c r="AP11" i="19"/>
  <c r="AR23" i="19" s="1"/>
  <c r="AN9" i="16"/>
  <c r="AL17" i="8"/>
  <c r="AN41" i="8"/>
  <c r="AQ20" i="8"/>
  <c r="AD82" i="12"/>
  <c r="AQ49" i="16"/>
  <c r="AQ39" i="16"/>
  <c r="AQ42" i="16" s="1"/>
  <c r="AP42" i="16"/>
  <c r="AD83" i="12"/>
  <c r="AL37" i="8"/>
  <c r="L29" i="19"/>
  <c r="L35" i="19"/>
  <c r="L23" i="19"/>
  <c r="Q29" i="19"/>
  <c r="AK180" i="5"/>
  <c r="AK236" i="5"/>
  <c r="AK61" i="8"/>
  <c r="AL62" i="5"/>
  <c r="AL110" i="16" s="1"/>
  <c r="V17" i="19"/>
  <c r="AG28" i="8"/>
  <c r="AG110" i="8" s="1"/>
  <c r="AK221" i="5"/>
  <c r="AK115" i="5"/>
  <c r="AK165" i="5"/>
  <c r="AH167" i="5"/>
  <c r="AH223" i="5"/>
  <c r="AH117" i="5"/>
  <c r="R124" i="5"/>
  <c r="R174" i="5"/>
  <c r="N233" i="5"/>
  <c r="N177" i="5"/>
  <c r="I23" i="6"/>
  <c r="Q74" i="16"/>
  <c r="Q71" i="16"/>
  <c r="S74" i="16"/>
  <c r="S71" i="16"/>
  <c r="AB174" i="5"/>
  <c r="AB124" i="5"/>
  <c r="P177" i="5"/>
  <c r="P233" i="5"/>
  <c r="AL29" i="14"/>
  <c r="AF227" i="5"/>
  <c r="AF171" i="5"/>
  <c r="AF121" i="5"/>
  <c r="L177" i="5"/>
  <c r="L233" i="5"/>
  <c r="AC233" i="5"/>
  <c r="AC177" i="5"/>
  <c r="X23" i="6"/>
  <c r="S177" i="5"/>
  <c r="S233" i="5"/>
  <c r="N23" i="6"/>
  <c r="M174" i="5"/>
  <c r="M124" i="5"/>
  <c r="Q233" i="5"/>
  <c r="Q177" i="5"/>
  <c r="L23" i="6"/>
  <c r="V177" i="5"/>
  <c r="K177" i="5"/>
  <c r="K233" i="5"/>
  <c r="AA233" i="5"/>
  <c r="AA177" i="5"/>
  <c r="U233" i="5"/>
  <c r="U177" i="5"/>
  <c r="V233" i="5"/>
  <c r="Z177" i="5"/>
  <c r="X233" i="5"/>
  <c r="X177" i="5"/>
  <c r="Y233" i="5"/>
  <c r="W174" i="5"/>
  <c r="W124" i="5"/>
  <c r="AC74" i="16"/>
  <c r="AC71" i="16"/>
  <c r="O233" i="5"/>
  <c r="AK113" i="5"/>
  <c r="AK83" i="16"/>
  <c r="AH21" i="19"/>
  <c r="AF15" i="19"/>
  <c r="AF27" i="19"/>
  <c r="AF21" i="19"/>
  <c r="K23" i="6"/>
  <c r="V23" i="19"/>
  <c r="X23" i="19"/>
  <c r="AA29" i="19"/>
  <c r="V29" i="19"/>
  <c r="V35" i="19"/>
  <c r="AF26" i="19"/>
  <c r="AH20" i="19"/>
  <c r="AF20" i="19"/>
  <c r="AF11" i="19"/>
  <c r="AF14" i="19"/>
  <c r="P23" i="6"/>
  <c r="R63" i="16"/>
  <c r="R59" i="5"/>
  <c r="AA74" i="16"/>
  <c r="AA71" i="16"/>
  <c r="AL27" i="8"/>
  <c r="AK53" i="8"/>
  <c r="AK108" i="8" s="1"/>
  <c r="AF54" i="5"/>
  <c r="AG53" i="5"/>
  <c r="AF67" i="16"/>
  <c r="AF70" i="16" s="1"/>
  <c r="U71" i="16"/>
  <c r="U74" i="16"/>
  <c r="X74" i="16"/>
  <c r="X71" i="16"/>
  <c r="AL11" i="19"/>
  <c r="AL26" i="19"/>
  <c r="AK8" i="19"/>
  <c r="AM20" i="19" s="1"/>
  <c r="G23" i="6"/>
  <c r="AJ14" i="16"/>
  <c r="AD74" i="16"/>
  <c r="AD71" i="16"/>
  <c r="AG65" i="12"/>
  <c r="AL52" i="8"/>
  <c r="AL74" i="8" s="1"/>
  <c r="AG29" i="19"/>
  <c r="AG35" i="19"/>
  <c r="AK90" i="16"/>
  <c r="F23" i="6"/>
  <c r="W63" i="16"/>
  <c r="W73" i="16" s="1"/>
  <c r="W59" i="5"/>
  <c r="AL27" i="19"/>
  <c r="AK9" i="19"/>
  <c r="AM21" i="19" s="1"/>
  <c r="V23" i="6"/>
  <c r="M63" i="16"/>
  <c r="M59" i="5"/>
  <c r="AB63" i="16"/>
  <c r="AB73" i="16" s="1"/>
  <c r="AB59" i="5"/>
  <c r="AK65" i="12"/>
  <c r="AL47" i="5"/>
  <c r="AH50" i="5"/>
  <c r="S23" i="6"/>
  <c r="AG53" i="8"/>
  <c r="AG108" i="8" s="1"/>
  <c r="F24" i="6"/>
  <c r="X24" i="6"/>
  <c r="S24" i="6"/>
  <c r="N24" i="6"/>
  <c r="P24" i="6"/>
  <c r="I24" i="6"/>
  <c r="L24" i="6"/>
  <c r="BR22" i="6"/>
  <c r="BI22" i="6"/>
  <c r="BE22" i="6"/>
  <c r="K24" i="6"/>
  <c r="G24" i="6"/>
  <c r="V24" i="6"/>
  <c r="BS69" i="19" l="1"/>
  <c r="BS49" i="19" s="1"/>
  <c r="L29" i="25"/>
  <c r="CB36" i="16"/>
  <c r="CB58" i="8"/>
  <c r="CB94" i="8" s="1"/>
  <c r="O28" i="25"/>
  <c r="CB16" i="5"/>
  <c r="CB14" i="5" s="1"/>
  <c r="CB59" i="8" s="1"/>
  <c r="CB193" i="5"/>
  <c r="CB87" i="5"/>
  <c r="BR52" i="19"/>
  <c r="CB115" i="5"/>
  <c r="CB107" i="16"/>
  <c r="CB113" i="16" s="1"/>
  <c r="CB114" i="5"/>
  <c r="CB77" i="12"/>
  <c r="CB79" i="12" s="1"/>
  <c r="CB137" i="5"/>
  <c r="CB120" i="8" s="1"/>
  <c r="CB17" i="16"/>
  <c r="CB11" i="5"/>
  <c r="CB100" i="16"/>
  <c r="CB113" i="5"/>
  <c r="BW21" i="6"/>
  <c r="BW26" i="14"/>
  <c r="BW29" i="14" s="1"/>
  <c r="BW35" i="14"/>
  <c r="BS70" i="19"/>
  <c r="BW49" i="19"/>
  <c r="BW50" i="19"/>
  <c r="BW70" i="19"/>
  <c r="BS34" i="14"/>
  <c r="BW141" i="5"/>
  <c r="BM91" i="5"/>
  <c r="BW14" i="5"/>
  <c r="BW195" i="5" s="1"/>
  <c r="BW78" i="12"/>
  <c r="BN71" i="8"/>
  <c r="BN95" i="8"/>
  <c r="BN85" i="8"/>
  <c r="BW113" i="16"/>
  <c r="BW11" i="12" s="1"/>
  <c r="P7" i="23"/>
  <c r="P8" i="23" s="1"/>
  <c r="BN46" i="19"/>
  <c r="BN11" i="14"/>
  <c r="BN21" i="14"/>
  <c r="BN15" i="14"/>
  <c r="BW109" i="16"/>
  <c r="BS114" i="5"/>
  <c r="BS100" i="16"/>
  <c r="BW94" i="8"/>
  <c r="BW35" i="12" s="1"/>
  <c r="BW38" i="16"/>
  <c r="BW42" i="16" s="1"/>
  <c r="BW83" i="8"/>
  <c r="BW32" i="12" s="1"/>
  <c r="BW65" i="12" s="1"/>
  <c r="BS113" i="5"/>
  <c r="BW197" i="5"/>
  <c r="BW91" i="5"/>
  <c r="BS137" i="5"/>
  <c r="BS120" i="8" s="1"/>
  <c r="BS121" i="8" s="1"/>
  <c r="BS36" i="16"/>
  <c r="BS193" i="5"/>
  <c r="BS87" i="5"/>
  <c r="BN21" i="6"/>
  <c r="BS107" i="16"/>
  <c r="BS116" i="16" s="1"/>
  <c r="BX9" i="5"/>
  <c r="BS17" i="16"/>
  <c r="BS8" i="16"/>
  <c r="Y23" i="6"/>
  <c r="AD233" i="5"/>
  <c r="BV29" i="8"/>
  <c r="BV47" i="16"/>
  <c r="BV51" i="16" s="1"/>
  <c r="BN174" i="16"/>
  <c r="BN176" i="16" s="1"/>
  <c r="BN162" i="16"/>
  <c r="BN163" i="16" s="1"/>
  <c r="BM166" i="16"/>
  <c r="BM177" i="16"/>
  <c r="BW69" i="8"/>
  <c r="BW52" i="8"/>
  <c r="BL119" i="8"/>
  <c r="AE233" i="5"/>
  <c r="BJ95" i="8"/>
  <c r="BJ85" i="8"/>
  <c r="Z23" i="6"/>
  <c r="BJ109" i="16"/>
  <c r="BJ174" i="16"/>
  <c r="BJ176" i="16" s="1"/>
  <c r="BJ162" i="16"/>
  <c r="BJ163" i="16" s="1"/>
  <c r="BE177" i="16"/>
  <c r="BE178" i="16"/>
  <c r="BE166" i="16"/>
  <c r="BE167" i="16"/>
  <c r="BI17" i="14"/>
  <c r="BI177" i="16"/>
  <c r="BI178" i="16"/>
  <c r="AE71" i="16"/>
  <c r="BL20" i="14"/>
  <c r="BJ11" i="14"/>
  <c r="BJ35" i="14" s="1"/>
  <c r="BJ20" i="14"/>
  <c r="BH23" i="14"/>
  <c r="BH17" i="14"/>
  <c r="BM17" i="14"/>
  <c r="BI23" i="14"/>
  <c r="BH35" i="14"/>
  <c r="BL21" i="14"/>
  <c r="BJ21" i="14"/>
  <c r="AG105" i="8"/>
  <c r="BJ64" i="16"/>
  <c r="BR141" i="5"/>
  <c r="BQ45" i="16"/>
  <c r="BQ18" i="16"/>
  <c r="BR19" i="16" s="1"/>
  <c r="BB47" i="16"/>
  <c r="BB51" i="16" s="1"/>
  <c r="BR116" i="16"/>
  <c r="BR89" i="16"/>
  <c r="BR114" i="16"/>
  <c r="BR65" i="12"/>
  <c r="BR52" i="8"/>
  <c r="BR74" i="8" s="1"/>
  <c r="BE43" i="19"/>
  <c r="BF46" i="19"/>
  <c r="BE44" i="19"/>
  <c r="BJ108" i="16"/>
  <c r="BI116" i="16"/>
  <c r="BI52" i="8"/>
  <c r="BI74" i="8" s="1"/>
  <c r="BI64" i="16"/>
  <c r="BI115" i="16"/>
  <c r="BI114" i="16"/>
  <c r="BI89" i="16"/>
  <c r="BK9" i="8"/>
  <c r="BJ78" i="12"/>
  <c r="BM29" i="14"/>
  <c r="BM141" i="5"/>
  <c r="BO34" i="14"/>
  <c r="BO69" i="19"/>
  <c r="BJ26" i="14"/>
  <c r="BJ27" i="14"/>
  <c r="BN49" i="19"/>
  <c r="BN50" i="19"/>
  <c r="BI29" i="14"/>
  <c r="BN27" i="14"/>
  <c r="BN26" i="14"/>
  <c r="BK19" i="8"/>
  <c r="BK14" i="8"/>
  <c r="BM65" i="12"/>
  <c r="BM38" i="12"/>
  <c r="BO11" i="5"/>
  <c r="BO58" i="8"/>
  <c r="BO71" i="8" s="1"/>
  <c r="BO36" i="16"/>
  <c r="BO17" i="16"/>
  <c r="BO100" i="16"/>
  <c r="BO8" i="16"/>
  <c r="BO77" i="12"/>
  <c r="BQ79" i="12" s="1"/>
  <c r="BO107" i="16"/>
  <c r="BM64" i="16"/>
  <c r="BM89" i="16"/>
  <c r="BM116" i="16"/>
  <c r="BM114" i="16"/>
  <c r="BN78" i="12"/>
  <c r="BN79" i="12"/>
  <c r="BN195" i="5"/>
  <c r="BN59" i="8"/>
  <c r="BN38" i="16"/>
  <c r="BN42" i="16" s="1"/>
  <c r="BN108" i="16"/>
  <c r="BN109" i="16"/>
  <c r="BM52" i="8"/>
  <c r="BM74" i="8" s="1"/>
  <c r="BM69" i="8"/>
  <c r="BN16" i="5"/>
  <c r="BO87" i="5"/>
  <c r="BO137" i="5"/>
  <c r="BO120" i="8" s="1"/>
  <c r="BO121" i="8" s="1"/>
  <c r="BJ21" i="6"/>
  <c r="BO113" i="5"/>
  <c r="BO114" i="5"/>
  <c r="BJ16" i="5"/>
  <c r="BJ18" i="5"/>
  <c r="BO193" i="5"/>
  <c r="BN89" i="5"/>
  <c r="BN18" i="5"/>
  <c r="BN139" i="5"/>
  <c r="BF21" i="8"/>
  <c r="BF8" i="8"/>
  <c r="BI72" i="8"/>
  <c r="BI71" i="8"/>
  <c r="BI73" i="8"/>
  <c r="BJ38" i="16"/>
  <c r="BJ42" i="16" s="1"/>
  <c r="BE20" i="19"/>
  <c r="BE26" i="19"/>
  <c r="BE116" i="16"/>
  <c r="BE89" i="16"/>
  <c r="BE115" i="16"/>
  <c r="BE114" i="16"/>
  <c r="BA17" i="19"/>
  <c r="BD35" i="19"/>
  <c r="BD23" i="19"/>
  <c r="BD29" i="19"/>
  <c r="BE65" i="12"/>
  <c r="BF9" i="8"/>
  <c r="BE52" i="8"/>
  <c r="BE74" i="8" s="1"/>
  <c r="BA72" i="8"/>
  <c r="BE9" i="19"/>
  <c r="AO105" i="8"/>
  <c r="AP105" i="8"/>
  <c r="AZ26" i="19"/>
  <c r="AT45" i="16"/>
  <c r="AL103" i="8"/>
  <c r="AL106" i="8" s="1"/>
  <c r="AG32" i="8"/>
  <c r="AG41" i="8" s="1"/>
  <c r="AT47" i="16"/>
  <c r="AT51" i="16" s="1"/>
  <c r="AT18" i="16"/>
  <c r="AU19" i="16" s="1"/>
  <c r="AS18" i="16"/>
  <c r="AS21" i="16" s="1"/>
  <c r="AU11" i="19"/>
  <c r="AU35" i="19" s="1"/>
  <c r="AZ27" i="19"/>
  <c r="AL83" i="16"/>
  <c r="AM105" i="8"/>
  <c r="AL72" i="8"/>
  <c r="AL71" i="8"/>
  <c r="AL9" i="16"/>
  <c r="AL12" i="16" s="1"/>
  <c r="AL131" i="8" s="1"/>
  <c r="AL133" i="8" s="1"/>
  <c r="AL116" i="8"/>
  <c r="AL119" i="8" s="1"/>
  <c r="AL121" i="8" s="1"/>
  <c r="AL18" i="16"/>
  <c r="AM133" i="8"/>
  <c r="AS47" i="16"/>
  <c r="AS51" i="16" s="1"/>
  <c r="AS45" i="16"/>
  <c r="AP18" i="16"/>
  <c r="AR19" i="16" s="1"/>
  <c r="AR21" i="16" s="1"/>
  <c r="AO19" i="16"/>
  <c r="AO21" i="16" s="1"/>
  <c r="AO7" i="5" s="1"/>
  <c r="AN21" i="16"/>
  <c r="AU21" i="19"/>
  <c r="AU17" i="19"/>
  <c r="AU27" i="19"/>
  <c r="AV35" i="19"/>
  <c r="AJ86" i="5"/>
  <c r="AQ27" i="8"/>
  <c r="AQ103" i="8" s="1"/>
  <c r="AP53" i="8"/>
  <c r="AP108" i="8" s="1"/>
  <c r="AP91" i="5"/>
  <c r="AP141" i="5"/>
  <c r="AL31" i="5"/>
  <c r="AL33" i="5" s="1"/>
  <c r="AJ136" i="5"/>
  <c r="AK12" i="16"/>
  <c r="AK131" i="8" s="1"/>
  <c r="AM134" i="8" s="1"/>
  <c r="AQ59" i="8"/>
  <c r="AQ89" i="5"/>
  <c r="AQ16" i="5"/>
  <c r="AQ139" i="5"/>
  <c r="AO53" i="8"/>
  <c r="AO108" i="8" s="1"/>
  <c r="AO91" i="5"/>
  <c r="AO197" i="5"/>
  <c r="AP197" i="5"/>
  <c r="AO141" i="5"/>
  <c r="AM91" i="5"/>
  <c r="AM141" i="5"/>
  <c r="AM197" i="5"/>
  <c r="AM53" i="8"/>
  <c r="AM108" i="8" s="1"/>
  <c r="AN197" i="5"/>
  <c r="AS39" i="8"/>
  <c r="AV71" i="8"/>
  <c r="AV72" i="8"/>
  <c r="AI112" i="8"/>
  <c r="AI78" i="8"/>
  <c r="AJ15" i="16"/>
  <c r="AI131" i="8"/>
  <c r="AJ134" i="8" s="1"/>
  <c r="AK149" i="5"/>
  <c r="AJ41" i="5"/>
  <c r="AJ215" i="5" s="1"/>
  <c r="AM146" i="5"/>
  <c r="AM202" i="5"/>
  <c r="AM96" i="5"/>
  <c r="AM23" i="5"/>
  <c r="AM22" i="5"/>
  <c r="AK99" i="5"/>
  <c r="AL23" i="5"/>
  <c r="AL22" i="5"/>
  <c r="AL146" i="5"/>
  <c r="AL96" i="5"/>
  <c r="AI14" i="16"/>
  <c r="AI15" i="16"/>
  <c r="AL26" i="5"/>
  <c r="AL27" i="5" s="1"/>
  <c r="AJ212" i="5"/>
  <c r="AK27" i="5"/>
  <c r="AK208" i="5"/>
  <c r="AK32" i="5"/>
  <c r="AJ38" i="5"/>
  <c r="AK102" i="5"/>
  <c r="AK37" i="5"/>
  <c r="AK60" i="8" s="1"/>
  <c r="AK33" i="5"/>
  <c r="AK152" i="5"/>
  <c r="AK205" i="5"/>
  <c r="AK28" i="5"/>
  <c r="AJ60" i="8"/>
  <c r="AJ156" i="5"/>
  <c r="AL47" i="16"/>
  <c r="AL51" i="16" s="1"/>
  <c r="AL45" i="16"/>
  <c r="AP45" i="16"/>
  <c r="AP47" i="16"/>
  <c r="AP51" i="16" s="1"/>
  <c r="AQ29" i="8"/>
  <c r="AQ116" i="8" s="1"/>
  <c r="AI42" i="5"/>
  <c r="AI215" i="5"/>
  <c r="AI109" i="5"/>
  <c r="AI49" i="5"/>
  <c r="AI223" i="5" s="1"/>
  <c r="M73" i="16"/>
  <c r="M74" i="16" s="1"/>
  <c r="AL164" i="5"/>
  <c r="AL114" i="5"/>
  <c r="R73" i="16"/>
  <c r="R74" i="16" s="1"/>
  <c r="AN90" i="16"/>
  <c r="AM114" i="5"/>
  <c r="AM164" i="5"/>
  <c r="AM220" i="5"/>
  <c r="AG112" i="8"/>
  <c r="AG113" i="8"/>
  <c r="AF63" i="16"/>
  <c r="AF230" i="5"/>
  <c r="AF59" i="5"/>
  <c r="AF124" i="5"/>
  <c r="AM14" i="16"/>
  <c r="AP26" i="19"/>
  <c r="AO163" i="5"/>
  <c r="AN113" i="5"/>
  <c r="AP27" i="19"/>
  <c r="AN165" i="5"/>
  <c r="AN115" i="5"/>
  <c r="AN221" i="5"/>
  <c r="AP35" i="19"/>
  <c r="AP23" i="19"/>
  <c r="AP17" i="19"/>
  <c r="AN61" i="8"/>
  <c r="AN236" i="5"/>
  <c r="AN180" i="5"/>
  <c r="AQ30" i="8"/>
  <c r="AO9" i="16"/>
  <c r="AP10" i="16" s="1"/>
  <c r="AO10" i="16"/>
  <c r="AN12" i="16"/>
  <c r="AN131" i="8" s="1"/>
  <c r="AQ39" i="8"/>
  <c r="AO36" i="8"/>
  <c r="AB177" i="5"/>
  <c r="M177" i="5"/>
  <c r="W177" i="5"/>
  <c r="AL61" i="8"/>
  <c r="AL180" i="5"/>
  <c r="AL165" i="5"/>
  <c r="AL115" i="5"/>
  <c r="AH227" i="5"/>
  <c r="AH171" i="5"/>
  <c r="AH121" i="5"/>
  <c r="AG171" i="5"/>
  <c r="AG121" i="5"/>
  <c r="R177" i="5"/>
  <c r="AL65" i="12"/>
  <c r="H23" i="6"/>
  <c r="AL90" i="16"/>
  <c r="AB71" i="16"/>
  <c r="AB74" i="16"/>
  <c r="R23" i="6"/>
  <c r="AG67" i="16"/>
  <c r="AG70" i="16" s="1"/>
  <c r="AG54" i="5"/>
  <c r="AG56" i="5"/>
  <c r="M23" i="6"/>
  <c r="AF23" i="19"/>
  <c r="AH23" i="19"/>
  <c r="AF29" i="19"/>
  <c r="AF35" i="19"/>
  <c r="AH54" i="5"/>
  <c r="AH67" i="16"/>
  <c r="AH70" i="16" s="1"/>
  <c r="AK14" i="19"/>
  <c r="AK20" i="19"/>
  <c r="AK26" i="19"/>
  <c r="AK11" i="19"/>
  <c r="AM23" i="19" s="1"/>
  <c r="W23" i="6"/>
  <c r="AK27" i="19"/>
  <c r="AK21" i="19"/>
  <c r="AK15" i="19"/>
  <c r="AL53" i="8"/>
  <c r="AL108" i="8" s="1"/>
  <c r="AH56" i="5"/>
  <c r="W71" i="16"/>
  <c r="W74" i="16"/>
  <c r="AL29" i="19"/>
  <c r="AL35" i="19"/>
  <c r="AF85" i="16"/>
  <c r="AF17" i="19"/>
  <c r="Z24" i="6"/>
  <c r="BW22" i="6"/>
  <c r="BJ22" i="6"/>
  <c r="BN22" i="6"/>
  <c r="Y24" i="6"/>
  <c r="M24" i="6"/>
  <c r="R24" i="6"/>
  <c r="W24" i="6"/>
  <c r="H24" i="6"/>
  <c r="N29" i="25" l="1"/>
  <c r="F16" i="25"/>
  <c r="G10" i="7"/>
  <c r="L30" i="25"/>
  <c r="N30" i="25" s="1"/>
  <c r="O30" i="25" s="1"/>
  <c r="BS50" i="19"/>
  <c r="BS52" i="19" s="1"/>
  <c r="CB83" i="8"/>
  <c r="CB32" i="12" s="1"/>
  <c r="CB9" i="8"/>
  <c r="CB69" i="8" s="1"/>
  <c r="CB109" i="16"/>
  <c r="CB108" i="16"/>
  <c r="CB91" i="5"/>
  <c r="CB141" i="5"/>
  <c r="CB197" i="5"/>
  <c r="BN73" i="8"/>
  <c r="BR72" i="8"/>
  <c r="CB38" i="16"/>
  <c r="CB42" i="16" s="1"/>
  <c r="CB78" i="12"/>
  <c r="BS197" i="5"/>
  <c r="BT69" i="19"/>
  <c r="BT70" i="19" s="1"/>
  <c r="CA47" i="16"/>
  <c r="CA51" i="16" s="1"/>
  <c r="CA29" i="8"/>
  <c r="BS65" i="12"/>
  <c r="CB27" i="8"/>
  <c r="CB35" i="12"/>
  <c r="CB89" i="16"/>
  <c r="CB11" i="12"/>
  <c r="CB116" i="16"/>
  <c r="CB64" i="16"/>
  <c r="CB114" i="16"/>
  <c r="CB115" i="16"/>
  <c r="CB195" i="5"/>
  <c r="CB89" i="5"/>
  <c r="CB139" i="5"/>
  <c r="BX69" i="19"/>
  <c r="BX49" i="19" s="1"/>
  <c r="CC9" i="5"/>
  <c r="BW89" i="5"/>
  <c r="BW52" i="19"/>
  <c r="BN58" i="19"/>
  <c r="BS64" i="19"/>
  <c r="BW139" i="5"/>
  <c r="BT34" i="14"/>
  <c r="BN23" i="14"/>
  <c r="BS17" i="14"/>
  <c r="BW59" i="8"/>
  <c r="BW27" i="8" s="1"/>
  <c r="BW21" i="12" s="1"/>
  <c r="BS26" i="14"/>
  <c r="BS27" i="14"/>
  <c r="BS35" i="14"/>
  <c r="BX16" i="5"/>
  <c r="BX34" i="14"/>
  <c r="BN197" i="5"/>
  <c r="BN70" i="19"/>
  <c r="BW64" i="16"/>
  <c r="BW89" i="16"/>
  <c r="BW38" i="12"/>
  <c r="BN35" i="14"/>
  <c r="BO44" i="19"/>
  <c r="BS21" i="6"/>
  <c r="BN17" i="14"/>
  <c r="BS38" i="16"/>
  <c r="BS42" i="16" s="1"/>
  <c r="BW116" i="16"/>
  <c r="BW115" i="16"/>
  <c r="BW114" i="16"/>
  <c r="BN105" i="8"/>
  <c r="BS109" i="16"/>
  <c r="BT193" i="5"/>
  <c r="BT58" i="8"/>
  <c r="BT11" i="5"/>
  <c r="BT87" i="5"/>
  <c r="BT113" i="5"/>
  <c r="BT114" i="5"/>
  <c r="BS108" i="16"/>
  <c r="BO21" i="6"/>
  <c r="BT8" i="16"/>
  <c r="BT77" i="12"/>
  <c r="BT79" i="12" s="1"/>
  <c r="BV11" i="5"/>
  <c r="BX107" i="16"/>
  <c r="BX113" i="16" s="1"/>
  <c r="BX11" i="12" s="1"/>
  <c r="BX8" i="16"/>
  <c r="BT137" i="5"/>
  <c r="BT120" i="8" s="1"/>
  <c r="BY9" i="5"/>
  <c r="BT36" i="16"/>
  <c r="BT100" i="16"/>
  <c r="BT17" i="16"/>
  <c r="BT107" i="16"/>
  <c r="BV193" i="5"/>
  <c r="BS91" i="5"/>
  <c r="BX11" i="5"/>
  <c r="BX193" i="5"/>
  <c r="BX77" i="12"/>
  <c r="BX113" i="5"/>
  <c r="BX115" i="5"/>
  <c r="BX100" i="16"/>
  <c r="BX137" i="5"/>
  <c r="BX87" i="5"/>
  <c r="BX114" i="5"/>
  <c r="BX58" i="8"/>
  <c r="BX17" i="16"/>
  <c r="BX36" i="16"/>
  <c r="BV116" i="8"/>
  <c r="BV119" i="8" s="1"/>
  <c r="BV121" i="8" s="1"/>
  <c r="BV45" i="16"/>
  <c r="BV18" i="16"/>
  <c r="BW19" i="16" s="1"/>
  <c r="BG47" i="16"/>
  <c r="BG51" i="16" s="1"/>
  <c r="BO162" i="16"/>
  <c r="BO174" i="16"/>
  <c r="BN167" i="16"/>
  <c r="BN166" i="16"/>
  <c r="BW72" i="8"/>
  <c r="BW71" i="8"/>
  <c r="BW73" i="8"/>
  <c r="BN177" i="16"/>
  <c r="BN178" i="16"/>
  <c r="BJ167" i="16"/>
  <c r="BJ166" i="16"/>
  <c r="BJ177" i="16"/>
  <c r="BJ178" i="16"/>
  <c r="BJ116" i="16"/>
  <c r="BJ89" i="16"/>
  <c r="BL23" i="14"/>
  <c r="BJ23" i="14"/>
  <c r="BJ114" i="16"/>
  <c r="BJ115" i="16"/>
  <c r="AS7" i="5"/>
  <c r="BP14" i="8"/>
  <c r="BP19" i="8"/>
  <c r="BS141" i="5"/>
  <c r="BS64" i="16"/>
  <c r="BS52" i="8"/>
  <c r="BS74" i="8" s="1"/>
  <c r="BR53" i="8"/>
  <c r="BR108" i="8" s="1"/>
  <c r="BG56" i="19"/>
  <c r="BE56" i="19"/>
  <c r="BE62" i="19"/>
  <c r="BE50" i="19"/>
  <c r="BE46" i="19"/>
  <c r="BG55" i="19"/>
  <c r="BE55" i="19"/>
  <c r="BE61" i="19"/>
  <c r="BE49" i="19"/>
  <c r="AQ119" i="8"/>
  <c r="AQ121" i="8" s="1"/>
  <c r="BJ65" i="12"/>
  <c r="BJ69" i="8"/>
  <c r="BJ52" i="8"/>
  <c r="BJ74" i="8" s="1"/>
  <c r="BJ29" i="14"/>
  <c r="BN52" i="19"/>
  <c r="BN29" i="14"/>
  <c r="BN91" i="5"/>
  <c r="BN141" i="5"/>
  <c r="BK21" i="8"/>
  <c r="BK8" i="8"/>
  <c r="BO109" i="16"/>
  <c r="BO108" i="16"/>
  <c r="BN65" i="12"/>
  <c r="BN38" i="12"/>
  <c r="BO195" i="5"/>
  <c r="BO59" i="8"/>
  <c r="BN89" i="16"/>
  <c r="BN115" i="16"/>
  <c r="BN116" i="16"/>
  <c r="BN114" i="16"/>
  <c r="BN64" i="16"/>
  <c r="BO78" i="12"/>
  <c r="BO79" i="12"/>
  <c r="BN52" i="8"/>
  <c r="BN74" i="8" s="1"/>
  <c r="BO16" i="5"/>
  <c r="BM72" i="8"/>
  <c r="BM71" i="8"/>
  <c r="BM103" i="8"/>
  <c r="BM53" i="8"/>
  <c r="BM108" i="8" s="1"/>
  <c r="BO38" i="16"/>
  <c r="BO42" i="16" s="1"/>
  <c r="AN7" i="5"/>
  <c r="AO26" i="16"/>
  <c r="AN26" i="16"/>
  <c r="BO89" i="5"/>
  <c r="BO18" i="5"/>
  <c r="BO139" i="5"/>
  <c r="AQ106" i="8"/>
  <c r="AL105" i="8"/>
  <c r="BK69" i="8"/>
  <c r="BF69" i="8"/>
  <c r="BE21" i="19"/>
  <c r="BE27" i="19"/>
  <c r="BE11" i="19"/>
  <c r="AQ105" i="8"/>
  <c r="AR89" i="5"/>
  <c r="AR139" i="5"/>
  <c r="AZ11" i="19"/>
  <c r="AZ17" i="19"/>
  <c r="AZ20" i="19"/>
  <c r="AR23" i="16"/>
  <c r="AR7" i="5"/>
  <c r="AT19" i="16"/>
  <c r="AT21" i="16" s="1"/>
  <c r="AR16" i="5"/>
  <c r="AX45" i="16"/>
  <c r="AX18" i="16"/>
  <c r="AU18" i="16"/>
  <c r="AW19" i="16" s="1"/>
  <c r="AY45" i="16"/>
  <c r="AY18" i="16"/>
  <c r="AU29" i="19"/>
  <c r="AU23" i="19"/>
  <c r="AR195" i="5"/>
  <c r="AR59" i="8"/>
  <c r="AK136" i="5"/>
  <c r="AM15" i="16"/>
  <c r="AK14" i="16"/>
  <c r="AK15" i="16"/>
  <c r="AN134" i="8"/>
  <c r="AN133" i="8"/>
  <c r="AQ10" i="16"/>
  <c r="AQ19" i="16"/>
  <c r="AL21" i="16"/>
  <c r="AU47" i="16"/>
  <c r="AU51" i="16" s="1"/>
  <c r="AU45" i="16"/>
  <c r="AQ18" i="16"/>
  <c r="AP21" i="16"/>
  <c r="AS26" i="16" s="1"/>
  <c r="AS23" i="16"/>
  <c r="AS24" i="16"/>
  <c r="AN23" i="16"/>
  <c r="AN24" i="16"/>
  <c r="AO23" i="16"/>
  <c r="AO24" i="16"/>
  <c r="AM33" i="5"/>
  <c r="AM149" i="5"/>
  <c r="AK78" i="8"/>
  <c r="AK112" i="8"/>
  <c r="AQ53" i="8"/>
  <c r="AQ108" i="8" s="1"/>
  <c r="AK134" i="8"/>
  <c r="AK133" i="8"/>
  <c r="AI136" i="5"/>
  <c r="AI86" i="5"/>
  <c r="AI192" i="5"/>
  <c r="AJ192" i="5"/>
  <c r="AL152" i="5"/>
  <c r="AL102" i="5"/>
  <c r="AL32" i="5"/>
  <c r="AM136" i="5"/>
  <c r="AM86" i="5"/>
  <c r="AJ78" i="8"/>
  <c r="AJ112" i="8"/>
  <c r="AQ91" i="5"/>
  <c r="AQ18" i="5"/>
  <c r="AQ141" i="5"/>
  <c r="AM99" i="5"/>
  <c r="AM28" i="5"/>
  <c r="AM205" i="5"/>
  <c r="AM27" i="5"/>
  <c r="AL28" i="5"/>
  <c r="AN28" i="5"/>
  <c r="AR9" i="16"/>
  <c r="AS10" i="16" s="1"/>
  <c r="AS35" i="8"/>
  <c r="AJ42" i="5"/>
  <c r="AJ159" i="5"/>
  <c r="AJ109" i="5"/>
  <c r="AJ49" i="5"/>
  <c r="AI134" i="8"/>
  <c r="AI133" i="8"/>
  <c r="AL149" i="5"/>
  <c r="AL99" i="5"/>
  <c r="AK212" i="5"/>
  <c r="AK156" i="5"/>
  <c r="AM32" i="5"/>
  <c r="AN208" i="5"/>
  <c r="AM102" i="5"/>
  <c r="AM37" i="5"/>
  <c r="AM60" i="8" s="1"/>
  <c r="AK38" i="5"/>
  <c r="AN202" i="5"/>
  <c r="AN23" i="5"/>
  <c r="AN96" i="5"/>
  <c r="AN22" i="5"/>
  <c r="AN146" i="5"/>
  <c r="AL37" i="5"/>
  <c r="AL106" i="5" s="1"/>
  <c r="AK106" i="5"/>
  <c r="AK41" i="5"/>
  <c r="AK42" i="5" s="1"/>
  <c r="AM152" i="5"/>
  <c r="AM208" i="5"/>
  <c r="AQ47" i="16"/>
  <c r="AQ51" i="16" s="1"/>
  <c r="AQ45" i="16"/>
  <c r="AI50" i="5"/>
  <c r="AI117" i="5"/>
  <c r="AI167" i="5"/>
  <c r="AO90" i="16"/>
  <c r="AN164" i="5"/>
  <c r="AN220" i="5"/>
  <c r="AN114" i="5"/>
  <c r="AA23" i="6"/>
  <c r="AF233" i="5"/>
  <c r="AF177" i="5"/>
  <c r="AO115" i="5"/>
  <c r="AO165" i="5"/>
  <c r="AO221" i="5"/>
  <c r="AO83" i="16"/>
  <c r="AO113" i="5"/>
  <c r="AP29" i="19"/>
  <c r="AO236" i="5"/>
  <c r="AO61" i="8"/>
  <c r="AO180" i="5"/>
  <c r="AP9" i="16"/>
  <c r="AQ35" i="8"/>
  <c r="AN14" i="16"/>
  <c r="AN15" i="16"/>
  <c r="AO12" i="16"/>
  <c r="AO131" i="8" s="1"/>
  <c r="AL14" i="16"/>
  <c r="AH230" i="5"/>
  <c r="AH174" i="5"/>
  <c r="AH124" i="5"/>
  <c r="AK17" i="19"/>
  <c r="AG174" i="5"/>
  <c r="AG124" i="5"/>
  <c r="AH59" i="5"/>
  <c r="AH63" i="16"/>
  <c r="AK23" i="19"/>
  <c r="AK29" i="19"/>
  <c r="AK35" i="19"/>
  <c r="AG59" i="5"/>
  <c r="AG63" i="16"/>
  <c r="AG85" i="16"/>
  <c r="AH85" i="16"/>
  <c r="BS22" i="6"/>
  <c r="BO22" i="6"/>
  <c r="AA24" i="6"/>
  <c r="I11" i="7" l="1"/>
  <c r="J11" i="7"/>
  <c r="F18" i="25"/>
  <c r="F17" i="25"/>
  <c r="G18" i="25"/>
  <c r="O29" i="25"/>
  <c r="F20" i="25"/>
  <c r="G23" i="25"/>
  <c r="CB52" i="8"/>
  <c r="CB18" i="12"/>
  <c r="BV109" i="16"/>
  <c r="BV115" i="16"/>
  <c r="BS89" i="5"/>
  <c r="BT49" i="19"/>
  <c r="BT52" i="19" s="1"/>
  <c r="BN107" i="8"/>
  <c r="BR106" i="8"/>
  <c r="BX14" i="5"/>
  <c r="BX195" i="5" s="1"/>
  <c r="BX21" i="6"/>
  <c r="CA116" i="8"/>
  <c r="CA119" i="8" s="1"/>
  <c r="CA121" i="8" s="1"/>
  <c r="CA45" i="16"/>
  <c r="CA18" i="16"/>
  <c r="BL47" i="16"/>
  <c r="BL51" i="16" s="1"/>
  <c r="CB103" i="8"/>
  <c r="CB53" i="8"/>
  <c r="CB21" i="12"/>
  <c r="CC8" i="16"/>
  <c r="CC58" i="8"/>
  <c r="CC100" i="16"/>
  <c r="CC17" i="16"/>
  <c r="CC36" i="16"/>
  <c r="CC77" i="12"/>
  <c r="CC107" i="16"/>
  <c r="CB71" i="8"/>
  <c r="CB72" i="8"/>
  <c r="CB73" i="8"/>
  <c r="CB65" i="12"/>
  <c r="CB38" i="12"/>
  <c r="BY69" i="19"/>
  <c r="BY49" i="19" s="1"/>
  <c r="BY52" i="19" s="1"/>
  <c r="CD9" i="5"/>
  <c r="CA11" i="5"/>
  <c r="CA193" i="5"/>
  <c r="BW103" i="8"/>
  <c r="BW105" i="8" s="1"/>
  <c r="CC137" i="5"/>
  <c r="CC193" i="5"/>
  <c r="CC87" i="5"/>
  <c r="CC11" i="5"/>
  <c r="CC16" i="5"/>
  <c r="CC114" i="5"/>
  <c r="CC113" i="5"/>
  <c r="CC115" i="5"/>
  <c r="BW53" i="8"/>
  <c r="BS139" i="5"/>
  <c r="BS195" i="5"/>
  <c r="BX70" i="19"/>
  <c r="BX50" i="19"/>
  <c r="BX52" i="19" s="1"/>
  <c r="BX141" i="5"/>
  <c r="BV197" i="5"/>
  <c r="BO43" i="19"/>
  <c r="BT62" i="19"/>
  <c r="BQ56" i="19"/>
  <c r="BS29" i="14"/>
  <c r="BX26" i="14"/>
  <c r="BX27" i="14"/>
  <c r="BX35" i="14"/>
  <c r="BT27" i="14"/>
  <c r="BT26" i="14"/>
  <c r="BT35" i="14"/>
  <c r="BY16" i="5"/>
  <c r="BY34" i="14"/>
  <c r="BO141" i="5"/>
  <c r="BT78" i="12"/>
  <c r="BV18" i="12"/>
  <c r="BJ73" i="8"/>
  <c r="BO72" i="8"/>
  <c r="BV79" i="12"/>
  <c r="BO105" i="8"/>
  <c r="BT38" i="16"/>
  <c r="BT42" i="16" s="1"/>
  <c r="BY193" i="5"/>
  <c r="BT21" i="6"/>
  <c r="BX116" i="16"/>
  <c r="BY36" i="16"/>
  <c r="BY137" i="5"/>
  <c r="BY38" i="16" s="1"/>
  <c r="BY42" i="16" s="1"/>
  <c r="BY11" i="5"/>
  <c r="BY8" i="16"/>
  <c r="BX64" i="16"/>
  <c r="BX114" i="16"/>
  <c r="BX115" i="16"/>
  <c r="BX89" i="16"/>
  <c r="BX109" i="16"/>
  <c r="BX108" i="16"/>
  <c r="BY77" i="12"/>
  <c r="BT108" i="16"/>
  <c r="BT109" i="16"/>
  <c r="BY114" i="5"/>
  <c r="BY87" i="5"/>
  <c r="BZ9" i="5"/>
  <c r="BY100" i="16"/>
  <c r="BY115" i="5"/>
  <c r="BY58" i="8"/>
  <c r="BY83" i="8" s="1"/>
  <c r="BY17" i="16"/>
  <c r="BY113" i="5"/>
  <c r="BY107" i="16"/>
  <c r="BX197" i="5"/>
  <c r="BX120" i="8"/>
  <c r="BX38" i="16"/>
  <c r="BX42" i="16" s="1"/>
  <c r="BX79" i="12"/>
  <c r="BX78" i="12"/>
  <c r="BX83" i="8"/>
  <c r="BX32" i="12" s="1"/>
  <c r="BX9" i="8"/>
  <c r="BX94" i="8"/>
  <c r="BX35" i="12" s="1"/>
  <c r="BX91" i="5"/>
  <c r="BU19" i="8"/>
  <c r="BV19" i="8"/>
  <c r="BW19" i="8" s="1"/>
  <c r="BX19" i="8" s="1"/>
  <c r="BY19" i="8" s="1"/>
  <c r="BU14" i="8"/>
  <c r="BV14" i="8"/>
  <c r="BW14" i="8" s="1"/>
  <c r="BX14" i="8" s="1"/>
  <c r="BY14" i="8" s="1"/>
  <c r="BP21" i="8"/>
  <c r="BP8" i="8"/>
  <c r="BT197" i="5"/>
  <c r="BT141" i="5"/>
  <c r="BT91" i="5"/>
  <c r="BE52" i="19"/>
  <c r="BE58" i="19"/>
  <c r="BG58" i="19"/>
  <c r="BE64" i="19"/>
  <c r="BE70" i="19"/>
  <c r="AT127" i="8"/>
  <c r="AX126" i="8"/>
  <c r="BJ72" i="8"/>
  <c r="BJ71" i="8"/>
  <c r="AT26" i="16"/>
  <c r="BO197" i="5"/>
  <c r="BO91" i="5"/>
  <c r="BM106" i="8"/>
  <c r="BM105" i="8"/>
  <c r="BO52" i="8"/>
  <c r="BO74" i="8" s="1"/>
  <c r="BP9" i="8"/>
  <c r="BO116" i="16"/>
  <c r="BO114" i="16"/>
  <c r="BO115" i="16"/>
  <c r="BO64" i="16"/>
  <c r="BO89" i="16"/>
  <c r="BK72" i="8"/>
  <c r="BN53" i="8"/>
  <c r="BN108" i="8" s="1"/>
  <c r="AR26" i="16"/>
  <c r="AR197" i="5"/>
  <c r="AR18" i="5"/>
  <c r="AQ123" i="8"/>
  <c r="AQ126" i="8"/>
  <c r="AV180" i="5"/>
  <c r="AQ110" i="16"/>
  <c r="BC18" i="16"/>
  <c r="BC45" i="16"/>
  <c r="BD18" i="16"/>
  <c r="BD45" i="16"/>
  <c r="BF72" i="8"/>
  <c r="BF17" i="19"/>
  <c r="BE23" i="19"/>
  <c r="BE35" i="19"/>
  <c r="AZ35" i="19"/>
  <c r="BE29" i="19"/>
  <c r="AO134" i="8"/>
  <c r="AO133" i="8"/>
  <c r="AR105" i="8"/>
  <c r="AL23" i="16"/>
  <c r="AL7" i="5"/>
  <c r="AL136" i="5" s="1"/>
  <c r="AS123" i="8"/>
  <c r="AS127" i="8"/>
  <c r="AS126" i="8"/>
  <c r="AZ29" i="19"/>
  <c r="AZ23" i="19"/>
  <c r="AR141" i="5"/>
  <c r="AR91" i="5"/>
  <c r="AT23" i="16"/>
  <c r="AT7" i="5"/>
  <c r="AP24" i="16"/>
  <c r="AP7" i="5"/>
  <c r="AU21" i="16"/>
  <c r="AU26" i="16" s="1"/>
  <c r="AT24" i="16"/>
  <c r="AZ45" i="16"/>
  <c r="AZ18" i="16"/>
  <c r="BB19" i="16" s="1"/>
  <c r="BA29" i="8"/>
  <c r="AR53" i="8"/>
  <c r="AR108" i="8" s="1"/>
  <c r="AZ19" i="16"/>
  <c r="AY19" i="16"/>
  <c r="AY21" i="16" s="1"/>
  <c r="AX21" i="16"/>
  <c r="AV18" i="16"/>
  <c r="BA19" i="16" s="1"/>
  <c r="AK86" i="5"/>
  <c r="AM192" i="5"/>
  <c r="AK192" i="5"/>
  <c r="AM112" i="8"/>
  <c r="AM78" i="8"/>
  <c r="AV45" i="16"/>
  <c r="AV116" i="8"/>
  <c r="AV119" i="8" s="1"/>
  <c r="AV121" i="8" s="1"/>
  <c r="AV47" i="16"/>
  <c r="AV51" i="16" s="1"/>
  <c r="AV19" i="16"/>
  <c r="AQ21" i="16"/>
  <c r="AQ26" i="16" s="1"/>
  <c r="AP23" i="16"/>
  <c r="AR24" i="16"/>
  <c r="AN136" i="5"/>
  <c r="AN192" i="5"/>
  <c r="AN86" i="5"/>
  <c r="AJ223" i="5"/>
  <c r="AN205" i="5"/>
  <c r="AN149" i="5"/>
  <c r="AN99" i="5"/>
  <c r="AN27" i="5"/>
  <c r="AO99" i="5"/>
  <c r="AS9" i="16"/>
  <c r="AQ47" i="5"/>
  <c r="AQ165" i="5" s="1"/>
  <c r="AP163" i="5"/>
  <c r="AN33" i="5"/>
  <c r="AO33" i="5"/>
  <c r="AP12" i="16"/>
  <c r="AP131" i="8" s="1"/>
  <c r="AR10" i="16"/>
  <c r="AR12" i="16" s="1"/>
  <c r="AR131" i="8" s="1"/>
  <c r="AS37" i="8"/>
  <c r="AS36" i="8"/>
  <c r="AV20" i="12"/>
  <c r="AL156" i="5"/>
  <c r="AJ50" i="5"/>
  <c r="AJ117" i="5"/>
  <c r="AN152" i="5"/>
  <c r="AN102" i="5"/>
  <c r="AN37" i="5"/>
  <c r="AN106" i="5" s="1"/>
  <c r="AN32" i="5"/>
  <c r="AJ167" i="5"/>
  <c r="AK215" i="5"/>
  <c r="AM212" i="5"/>
  <c r="AM41" i="5"/>
  <c r="AM38" i="5"/>
  <c r="AM106" i="5"/>
  <c r="AM156" i="5"/>
  <c r="AL38" i="5"/>
  <c r="AO23" i="5"/>
  <c r="AO146" i="5"/>
  <c r="AO22" i="5"/>
  <c r="AO96" i="5"/>
  <c r="AO202" i="5"/>
  <c r="AI56" i="5"/>
  <c r="AI59" i="5" s="1"/>
  <c r="AK49" i="5"/>
  <c r="AL41" i="5"/>
  <c r="AL109" i="5" s="1"/>
  <c r="AK159" i="5"/>
  <c r="AK109" i="5"/>
  <c r="AL60" i="8"/>
  <c r="AI171" i="5"/>
  <c r="AI227" i="5"/>
  <c r="AI67" i="16"/>
  <c r="AI70" i="16" s="1"/>
  <c r="AI85" i="16" s="1"/>
  <c r="AI54" i="5"/>
  <c r="AI121" i="5"/>
  <c r="AH73" i="16"/>
  <c r="AH71" i="16" s="1"/>
  <c r="AO220" i="5"/>
  <c r="AO164" i="5"/>
  <c r="AO114" i="5"/>
  <c r="AL28" i="8"/>
  <c r="AL10" i="8"/>
  <c r="AL76" i="8" s="1"/>
  <c r="AL79" i="8" s="1"/>
  <c r="AJ56" i="5"/>
  <c r="AJ227" i="5"/>
  <c r="AJ121" i="5"/>
  <c r="AJ54" i="5"/>
  <c r="AJ171" i="5"/>
  <c r="AJ67" i="16"/>
  <c r="AJ70" i="16" s="1"/>
  <c r="AQ180" i="5"/>
  <c r="AQ61" i="8"/>
  <c r="AP61" i="8"/>
  <c r="AP236" i="5"/>
  <c r="AP180" i="5"/>
  <c r="AP83" i="16"/>
  <c r="AP113" i="5"/>
  <c r="AQ45" i="5"/>
  <c r="AQ163" i="5" s="1"/>
  <c r="AP115" i="5"/>
  <c r="AP221" i="5"/>
  <c r="AP165" i="5"/>
  <c r="AQ9" i="16"/>
  <c r="AO15" i="16"/>
  <c r="AO14" i="16"/>
  <c r="AQ36" i="8"/>
  <c r="AQ37" i="8"/>
  <c r="AG177" i="5"/>
  <c r="AH233" i="5"/>
  <c r="AH177" i="5"/>
  <c r="AC23" i="6"/>
  <c r="AB23" i="6"/>
  <c r="AC24" i="6"/>
  <c r="BT22" i="6"/>
  <c r="BX22" i="6"/>
  <c r="AB24" i="6"/>
  <c r="F21" i="25" l="1"/>
  <c r="G24" i="25"/>
  <c r="BT59" i="8"/>
  <c r="G12" i="7"/>
  <c r="G14" i="7" s="1"/>
  <c r="G15" i="7" s="1"/>
  <c r="BT114" i="16"/>
  <c r="BT116" i="16"/>
  <c r="BT115" i="16"/>
  <c r="CC14" i="5"/>
  <c r="CC59" i="8" s="1"/>
  <c r="CC27" i="8" s="1"/>
  <c r="BX59" i="8"/>
  <c r="BX27" i="8" s="1"/>
  <c r="BX21" i="12" s="1"/>
  <c r="BT195" i="5"/>
  <c r="BT89" i="5"/>
  <c r="BT139" i="5"/>
  <c r="BV195" i="5"/>
  <c r="BX139" i="5"/>
  <c r="BX89" i="5"/>
  <c r="BY21" i="6"/>
  <c r="BS53" i="8"/>
  <c r="BS108" i="8" s="1"/>
  <c r="BW107" i="8"/>
  <c r="BZ19" i="8"/>
  <c r="CA19" i="8"/>
  <c r="CB19" i="8" s="1"/>
  <c r="CC19" i="8" s="1"/>
  <c r="CD19" i="8" s="1"/>
  <c r="CE19" i="8" s="1"/>
  <c r="CB19" i="16"/>
  <c r="BZ14" i="8"/>
  <c r="CA14" i="8"/>
  <c r="CB14" i="8" s="1"/>
  <c r="CC14" i="8" s="1"/>
  <c r="CD14" i="8" s="1"/>
  <c r="CE14" i="8" s="1"/>
  <c r="CC113" i="16"/>
  <c r="CC108" i="16"/>
  <c r="CC109" i="16"/>
  <c r="BY113" i="16"/>
  <c r="BY89" i="16" s="1"/>
  <c r="CA109" i="16"/>
  <c r="BY78" i="12"/>
  <c r="CA79" i="12"/>
  <c r="CC38" i="16"/>
  <c r="CC42" i="16" s="1"/>
  <c r="CC120" i="8"/>
  <c r="CD100" i="16"/>
  <c r="CD17" i="16"/>
  <c r="CD77" i="12"/>
  <c r="CD36" i="16"/>
  <c r="CD8" i="16"/>
  <c r="CD107" i="16"/>
  <c r="CD58" i="8"/>
  <c r="CC79" i="12"/>
  <c r="CC78" i="12"/>
  <c r="CB107" i="8"/>
  <c r="CB105" i="8"/>
  <c r="CB106" i="8"/>
  <c r="CC83" i="8"/>
  <c r="CC9" i="8"/>
  <c r="CC94" i="8"/>
  <c r="CD137" i="5"/>
  <c r="CD11" i="5"/>
  <c r="CD87" i="5"/>
  <c r="CD16" i="5"/>
  <c r="CD193" i="5"/>
  <c r="CE9" i="5"/>
  <c r="CD113" i="5"/>
  <c r="CD114" i="5"/>
  <c r="CD115" i="5"/>
  <c r="BW106" i="8"/>
  <c r="BY14" i="5"/>
  <c r="CA195" i="5" s="1"/>
  <c r="CA197" i="5"/>
  <c r="BY70" i="19"/>
  <c r="CC197" i="5"/>
  <c r="CC91" i="5"/>
  <c r="CC141" i="5"/>
  <c r="BZ34" i="14"/>
  <c r="BZ35" i="14" s="1"/>
  <c r="BZ69" i="19"/>
  <c r="BZ70" i="19" s="1"/>
  <c r="BQ55" i="19"/>
  <c r="BT61" i="19"/>
  <c r="BY141" i="5"/>
  <c r="BY27" i="14"/>
  <c r="BY26" i="14"/>
  <c r="BY35" i="14"/>
  <c r="BT29" i="14"/>
  <c r="BX29" i="14"/>
  <c r="BT69" i="8"/>
  <c r="BV73" i="8" s="1"/>
  <c r="BU9" i="8"/>
  <c r="BU69" i="8" s="1"/>
  <c r="BT52" i="8"/>
  <c r="BT74" i="8" s="1"/>
  <c r="BT89" i="16"/>
  <c r="BT64" i="16"/>
  <c r="BZ77" i="12"/>
  <c r="BU21" i="6"/>
  <c r="BY120" i="8"/>
  <c r="BY197" i="5"/>
  <c r="BY91" i="5"/>
  <c r="BY94" i="8"/>
  <c r="BZ94" i="8" s="1"/>
  <c r="BZ35" i="12" s="1"/>
  <c r="BY9" i="8"/>
  <c r="BY79" i="12"/>
  <c r="BY109" i="16"/>
  <c r="BY108" i="16"/>
  <c r="BZ115" i="5"/>
  <c r="BZ107" i="16"/>
  <c r="BZ100" i="16"/>
  <c r="BZ87" i="5"/>
  <c r="BZ8" i="16"/>
  <c r="BZ58" i="8"/>
  <c r="BZ113" i="5"/>
  <c r="BZ36" i="16"/>
  <c r="BZ114" i="5"/>
  <c r="BZ17" i="16"/>
  <c r="BX18" i="12"/>
  <c r="BX69" i="8"/>
  <c r="BX52" i="8"/>
  <c r="BX65" i="12"/>
  <c r="BX38" i="12"/>
  <c r="BU21" i="8"/>
  <c r="BV21" i="8"/>
  <c r="BW21" i="8" s="1"/>
  <c r="BX21" i="8" s="1"/>
  <c r="BY21" i="8" s="1"/>
  <c r="BU8" i="8"/>
  <c r="BV8" i="8"/>
  <c r="BW8" i="8" s="1"/>
  <c r="BX8" i="8" s="1"/>
  <c r="BY8" i="8" s="1"/>
  <c r="BZ83" i="8"/>
  <c r="BZ32" i="12" s="1"/>
  <c r="BY32" i="12"/>
  <c r="BY65" i="12" s="1"/>
  <c r="BT103" i="8"/>
  <c r="BV107" i="8" s="1"/>
  <c r="BU27" i="8"/>
  <c r="BN18" i="16"/>
  <c r="BP27" i="8"/>
  <c r="BO53" i="8"/>
  <c r="BO108" i="8" s="1"/>
  <c r="BP69" i="8"/>
  <c r="BJ18" i="16"/>
  <c r="BI116" i="8"/>
  <c r="BI18" i="16"/>
  <c r="BJ19" i="16" s="1"/>
  <c r="BI45" i="16"/>
  <c r="BH18" i="16"/>
  <c r="BH45" i="16"/>
  <c r="AL86" i="5"/>
  <c r="BD19" i="16"/>
  <c r="BD21" i="16" s="1"/>
  <c r="BC21" i="16"/>
  <c r="BF29" i="8"/>
  <c r="BE45" i="16"/>
  <c r="BE18" i="16"/>
  <c r="BG19" i="16" s="1"/>
  <c r="BE19" i="16"/>
  <c r="AY7" i="5"/>
  <c r="AP133" i="8"/>
  <c r="AP134" i="8"/>
  <c r="AR134" i="8"/>
  <c r="AR133" i="8"/>
  <c r="AX23" i="16"/>
  <c r="AX7" i="5"/>
  <c r="AU7" i="5"/>
  <c r="AQ23" i="16"/>
  <c r="AQ7" i="5"/>
  <c r="AU23" i="16"/>
  <c r="AU24" i="16"/>
  <c r="AL110" i="8"/>
  <c r="AL113" i="8" s="1"/>
  <c r="AL32" i="8"/>
  <c r="AL41" i="8" s="1"/>
  <c r="AV21" i="16"/>
  <c r="AV26" i="16" s="1"/>
  <c r="AY24" i="16"/>
  <c r="AY23" i="16"/>
  <c r="BA116" i="8"/>
  <c r="BA119" i="8" s="1"/>
  <c r="BA45" i="16"/>
  <c r="BA18" i="16"/>
  <c r="AZ21" i="16"/>
  <c r="AQ115" i="5"/>
  <c r="AL78" i="8"/>
  <c r="AO28" i="5"/>
  <c r="AO136" i="5"/>
  <c r="AO192" i="5"/>
  <c r="AO86" i="5"/>
  <c r="AR23" i="5"/>
  <c r="AR22" i="5"/>
  <c r="AO149" i="5"/>
  <c r="AO205" i="5"/>
  <c r="AO27" i="5"/>
  <c r="AO208" i="5"/>
  <c r="AO152" i="5"/>
  <c r="AO102" i="5"/>
  <c r="AO32" i="5"/>
  <c r="AO37" i="5"/>
  <c r="AO106" i="5" s="1"/>
  <c r="AN156" i="5"/>
  <c r="AN212" i="5"/>
  <c r="AN41" i="5"/>
  <c r="AN109" i="5" s="1"/>
  <c r="AN38" i="5"/>
  <c r="AN60" i="8"/>
  <c r="AR15" i="16"/>
  <c r="AT10" i="16"/>
  <c r="AS12" i="16"/>
  <c r="AS131" i="8" s="1"/>
  <c r="AP14" i="16"/>
  <c r="AT9" i="16"/>
  <c r="AP15" i="16"/>
  <c r="AR165" i="5"/>
  <c r="AR221" i="5"/>
  <c r="AR115" i="5"/>
  <c r="AP90" i="16"/>
  <c r="AR163" i="5"/>
  <c r="AR83" i="16"/>
  <c r="AR113" i="5"/>
  <c r="AV25" i="12"/>
  <c r="AR14" i="16"/>
  <c r="AQ12" i="16"/>
  <c r="AQ131" i="8" s="1"/>
  <c r="AQ133" i="8" s="1"/>
  <c r="AV10" i="16"/>
  <c r="AQ21" i="5"/>
  <c r="AQ96" i="5" s="1"/>
  <c r="AM42" i="5"/>
  <c r="AM49" i="5"/>
  <c r="AM159" i="5"/>
  <c r="AM109" i="5"/>
  <c r="AM215" i="5"/>
  <c r="AK117" i="5"/>
  <c r="AK50" i="5"/>
  <c r="AK167" i="5"/>
  <c r="AK223" i="5"/>
  <c r="AD23" i="6"/>
  <c r="AL42" i="5"/>
  <c r="AI124" i="5"/>
  <c r="AL49" i="5"/>
  <c r="AL117" i="5" s="1"/>
  <c r="AI63" i="16"/>
  <c r="AI73" i="16" s="1"/>
  <c r="AI71" i="16" s="1"/>
  <c r="AI177" i="5"/>
  <c r="AL159" i="5"/>
  <c r="AI233" i="5"/>
  <c r="AI230" i="5"/>
  <c r="AI174" i="5"/>
  <c r="AP146" i="5"/>
  <c r="AP96" i="5"/>
  <c r="AP202" i="5"/>
  <c r="AP22" i="5"/>
  <c r="AP23" i="5"/>
  <c r="AH74" i="16"/>
  <c r="AP220" i="5"/>
  <c r="AP164" i="5"/>
  <c r="AP114" i="5"/>
  <c r="AQ46" i="5"/>
  <c r="AJ124" i="5"/>
  <c r="AJ59" i="5"/>
  <c r="AJ174" i="5"/>
  <c r="AJ63" i="16"/>
  <c r="AJ230" i="5"/>
  <c r="AK227" i="5"/>
  <c r="AK54" i="5"/>
  <c r="AK171" i="5"/>
  <c r="AK56" i="5"/>
  <c r="AK121" i="5"/>
  <c r="AK67" i="16"/>
  <c r="AK70" i="16" s="1"/>
  <c r="AJ85" i="16"/>
  <c r="AL53" i="5"/>
  <c r="AQ83" i="16"/>
  <c r="AQ113" i="5"/>
  <c r="AQ17" i="8"/>
  <c r="AG7" i="8"/>
  <c r="AG12" i="8" s="1"/>
  <c r="AF47" i="8"/>
  <c r="AF49" i="8" s="1"/>
  <c r="AF50" i="8" s="1"/>
  <c r="AF23" i="8"/>
  <c r="BU22" i="6"/>
  <c r="BY22" i="6"/>
  <c r="AD24" i="6"/>
  <c r="BV21" i="12" l="1"/>
  <c r="BT53" i="8"/>
  <c r="BT108" i="8" s="1"/>
  <c r="CC89" i="5"/>
  <c r="BX53" i="8"/>
  <c r="BX103" i="8"/>
  <c r="BX105" i="8" s="1"/>
  <c r="CC139" i="5"/>
  <c r="CC195" i="5"/>
  <c r="BY116" i="16"/>
  <c r="BZ21" i="6"/>
  <c r="BY64" i="16"/>
  <c r="BY115" i="16"/>
  <c r="BY29" i="14"/>
  <c r="BZ8" i="8"/>
  <c r="CA8" i="8"/>
  <c r="CB8" i="8" s="1"/>
  <c r="CC8" i="8" s="1"/>
  <c r="CD8" i="8" s="1"/>
  <c r="CE8" i="8" s="1"/>
  <c r="BZ21" i="8"/>
  <c r="CA21" i="8"/>
  <c r="CB21" i="8" s="1"/>
  <c r="CC21" i="8" s="1"/>
  <c r="CD21" i="8" s="1"/>
  <c r="CE21" i="8" s="1"/>
  <c r="BY59" i="8"/>
  <c r="BY27" i="8" s="1"/>
  <c r="BZ27" i="8" s="1"/>
  <c r="BZ103" i="8" s="1"/>
  <c r="CD79" i="12"/>
  <c r="CD78" i="12"/>
  <c r="CE77" i="12"/>
  <c r="CE78" i="12" s="1"/>
  <c r="CE100" i="16"/>
  <c r="CE107" i="16"/>
  <c r="CE108" i="16" s="1"/>
  <c r="CE8" i="16"/>
  <c r="CE58" i="8"/>
  <c r="CE36" i="16"/>
  <c r="CE17" i="16"/>
  <c r="BY11" i="12"/>
  <c r="CA115" i="16"/>
  <c r="CC35" i="12"/>
  <c r="BZ113" i="16"/>
  <c r="BZ11" i="12" s="1"/>
  <c r="CC18" i="12"/>
  <c r="CC52" i="8"/>
  <c r="CC69" i="8"/>
  <c r="CD94" i="8"/>
  <c r="CD35" i="12" s="1"/>
  <c r="CD9" i="8"/>
  <c r="CD83" i="8"/>
  <c r="CD32" i="12" s="1"/>
  <c r="CC21" i="12"/>
  <c r="CC103" i="8"/>
  <c r="CC53" i="8"/>
  <c r="BY114" i="16"/>
  <c r="BZ9" i="8"/>
  <c r="BZ52" i="8" s="1"/>
  <c r="BZ74" i="8" s="1"/>
  <c r="CA18" i="12"/>
  <c r="CD38" i="16"/>
  <c r="CD42" i="16" s="1"/>
  <c r="CD120" i="8"/>
  <c r="CC32" i="12"/>
  <c r="CC65" i="12" s="1"/>
  <c r="CD109" i="16"/>
  <c r="CD113" i="16"/>
  <c r="CE113" i="16" s="1"/>
  <c r="CD108" i="16"/>
  <c r="CC64" i="16"/>
  <c r="CC114" i="16"/>
  <c r="CC89" i="16"/>
  <c r="CC11" i="12"/>
  <c r="CC115" i="16"/>
  <c r="CC116" i="16"/>
  <c r="BY89" i="5"/>
  <c r="CD14" i="5"/>
  <c r="CD59" i="8" s="1"/>
  <c r="CD197" i="5"/>
  <c r="CD91" i="5"/>
  <c r="CD141" i="5"/>
  <c r="BY195" i="5"/>
  <c r="BZ14" i="5"/>
  <c r="BZ16" i="5" s="1"/>
  <c r="CE10" i="5"/>
  <c r="CE87" i="5"/>
  <c r="CE137" i="5"/>
  <c r="CE113" i="5"/>
  <c r="CE114" i="5"/>
  <c r="CE115" i="5"/>
  <c r="BY139" i="5"/>
  <c r="BT72" i="8"/>
  <c r="BT73" i="8"/>
  <c r="BT71" i="8"/>
  <c r="BI119" i="8"/>
  <c r="BI121" i="8" s="1"/>
  <c r="BN119" i="8"/>
  <c r="BN121" i="8" s="1"/>
  <c r="BJ21" i="16"/>
  <c r="BY18" i="12"/>
  <c r="BZ18" i="12" s="1"/>
  <c r="BY35" i="12"/>
  <c r="BY38" i="12" s="1"/>
  <c r="BY52" i="8"/>
  <c r="BY69" i="8"/>
  <c r="BX73" i="8"/>
  <c r="BX71" i="8"/>
  <c r="BX72" i="8"/>
  <c r="BZ85" i="8"/>
  <c r="BZ95" i="8"/>
  <c r="BZ65" i="12"/>
  <c r="BZ38" i="12"/>
  <c r="BS47" i="16"/>
  <c r="BS51" i="16" s="1"/>
  <c r="BR47" i="16"/>
  <c r="BR51" i="16" s="1"/>
  <c r="BT106" i="8"/>
  <c r="BT105" i="8"/>
  <c r="BT107" i="8"/>
  <c r="BU72" i="8"/>
  <c r="BU103" i="8"/>
  <c r="BM18" i="16"/>
  <c r="BM21" i="16" s="1"/>
  <c r="BM45" i="16"/>
  <c r="BM116" i="8"/>
  <c r="BR119" i="8" s="1"/>
  <c r="BR121" i="8" s="1"/>
  <c r="AX47" i="16"/>
  <c r="AX51" i="16" s="1"/>
  <c r="BN45" i="16"/>
  <c r="AY47" i="16"/>
  <c r="AY51" i="16" s="1"/>
  <c r="BP103" i="8"/>
  <c r="BP72" i="8"/>
  <c r="BK29" i="8"/>
  <c r="BJ45" i="16"/>
  <c r="AL112" i="8"/>
  <c r="BI19" i="16"/>
  <c r="BI21" i="16" s="1"/>
  <c r="BH21" i="16"/>
  <c r="BD7" i="5"/>
  <c r="BC23" i="16"/>
  <c r="BC7" i="5"/>
  <c r="BE21" i="16"/>
  <c r="BD24" i="16"/>
  <c r="BF116" i="8"/>
  <c r="BF119" i="8" s="1"/>
  <c r="BF45" i="16"/>
  <c r="BF18" i="16"/>
  <c r="BK19" i="16" s="1"/>
  <c r="BD23" i="16"/>
  <c r="BF19" i="16"/>
  <c r="AZ7" i="5"/>
  <c r="AS134" i="8"/>
  <c r="AS133" i="8"/>
  <c r="AV23" i="16"/>
  <c r="AV7" i="5"/>
  <c r="AW9" i="16"/>
  <c r="AX10" i="16" s="1"/>
  <c r="AZ24" i="16"/>
  <c r="AZ23" i="16"/>
  <c r="BA30" i="8"/>
  <c r="AS15" i="16"/>
  <c r="AN112" i="8"/>
  <c r="AN78" i="8"/>
  <c r="AM223" i="5"/>
  <c r="AP136" i="5"/>
  <c r="AP86" i="5"/>
  <c r="AP192" i="5"/>
  <c r="AQ136" i="5"/>
  <c r="AQ86" i="5"/>
  <c r="AR136" i="5"/>
  <c r="AR86" i="5"/>
  <c r="AR192" i="5"/>
  <c r="AQ23" i="5"/>
  <c r="AS23" i="5"/>
  <c r="AS22" i="5"/>
  <c r="AP99" i="5"/>
  <c r="AR33" i="5"/>
  <c r="AR32" i="5"/>
  <c r="AP33" i="5"/>
  <c r="AQ26" i="5"/>
  <c r="AQ28" i="5" s="1"/>
  <c r="AP37" i="5"/>
  <c r="AP106" i="5" s="1"/>
  <c r="AP149" i="5"/>
  <c r="AP27" i="5"/>
  <c r="AP28" i="5"/>
  <c r="AP205" i="5"/>
  <c r="AQ14" i="16"/>
  <c r="AQ31" i="5"/>
  <c r="AQ152" i="5" s="1"/>
  <c r="AQ22" i="5"/>
  <c r="AQ146" i="5"/>
  <c r="AN49" i="5"/>
  <c r="AP208" i="5"/>
  <c r="AP152" i="5"/>
  <c r="AP32" i="5"/>
  <c r="AN159" i="5"/>
  <c r="AP102" i="5"/>
  <c r="AO38" i="5"/>
  <c r="AO156" i="5"/>
  <c r="AO41" i="5"/>
  <c r="AO109" i="5" s="1"/>
  <c r="AO212" i="5"/>
  <c r="AO60" i="8"/>
  <c r="AM50" i="5"/>
  <c r="AN215" i="5"/>
  <c r="AN42" i="5"/>
  <c r="AS14" i="16"/>
  <c r="AU10" i="16"/>
  <c r="AT12" i="16"/>
  <c r="AT131" i="8" s="1"/>
  <c r="AU9" i="16"/>
  <c r="AW10" i="16" s="1"/>
  <c r="AV23" i="12"/>
  <c r="AS221" i="5"/>
  <c r="AS165" i="5"/>
  <c r="AS115" i="5"/>
  <c r="AR220" i="5"/>
  <c r="AR164" i="5"/>
  <c r="AR114" i="5"/>
  <c r="AY163" i="5"/>
  <c r="AS163" i="5"/>
  <c r="AS83" i="16"/>
  <c r="AS113" i="5"/>
  <c r="AR152" i="5"/>
  <c r="AR208" i="5"/>
  <c r="AR102" i="5"/>
  <c r="AR202" i="5"/>
  <c r="AR146" i="5"/>
  <c r="AR96" i="5"/>
  <c r="AM56" i="5"/>
  <c r="AM117" i="5"/>
  <c r="AM167" i="5"/>
  <c r="AL50" i="5"/>
  <c r="AL167" i="5"/>
  <c r="AI74" i="16"/>
  <c r="AH87" i="16"/>
  <c r="AH94" i="16" s="1"/>
  <c r="AH65" i="5" s="1"/>
  <c r="AH63" i="8"/>
  <c r="AQ164" i="5"/>
  <c r="AQ114" i="5"/>
  <c r="AQ90" i="16"/>
  <c r="AJ73" i="16"/>
  <c r="AJ71" i="16" s="1"/>
  <c r="AG63" i="8"/>
  <c r="AG61" i="12"/>
  <c r="AL60" i="12" s="1"/>
  <c r="AJ177" i="5"/>
  <c r="AJ233" i="5"/>
  <c r="AE23" i="6"/>
  <c r="AK85" i="16"/>
  <c r="AL56" i="5"/>
  <c r="AL54" i="5"/>
  <c r="AL171" i="5"/>
  <c r="AL121" i="5"/>
  <c r="AL67" i="16"/>
  <c r="AL70" i="16" s="1"/>
  <c r="AK63" i="16"/>
  <c r="AK73" i="16" s="1"/>
  <c r="AK174" i="5"/>
  <c r="AK124" i="5"/>
  <c r="AK59" i="5"/>
  <c r="AK230" i="5"/>
  <c r="AL15" i="8"/>
  <c r="AQ82" i="8" s="1"/>
  <c r="AG43" i="8"/>
  <c r="AF45" i="8"/>
  <c r="AF54" i="8" s="1"/>
  <c r="AF51" i="8"/>
  <c r="AG47" i="8"/>
  <c r="AG49" i="8" s="1"/>
  <c r="AG50" i="8" s="1"/>
  <c r="AG23" i="8"/>
  <c r="AG64" i="12"/>
  <c r="AG68" i="12" s="1"/>
  <c r="BZ22" i="6"/>
  <c r="AE24" i="6"/>
  <c r="BX107" i="8" l="1"/>
  <c r="BX106" i="8"/>
  <c r="BZ18" i="5"/>
  <c r="BZ69" i="8"/>
  <c r="BZ72" i="8" s="1"/>
  <c r="BZ64" i="16"/>
  <c r="BZ89" i="16"/>
  <c r="BZ116" i="16"/>
  <c r="CE83" i="8"/>
  <c r="CE32" i="12" s="1"/>
  <c r="BY21" i="12"/>
  <c r="BZ21" i="12" s="1"/>
  <c r="BY53" i="8"/>
  <c r="BY103" i="8"/>
  <c r="CA107" i="8" s="1"/>
  <c r="CA21" i="12"/>
  <c r="BY71" i="8"/>
  <c r="CA73" i="8"/>
  <c r="CC105" i="8"/>
  <c r="CC106" i="8"/>
  <c r="CC107" i="8"/>
  <c r="BZ91" i="5"/>
  <c r="CE38" i="16"/>
  <c r="CE42" i="16" s="1"/>
  <c r="CE120" i="8"/>
  <c r="CE94" i="8"/>
  <c r="CD52" i="8"/>
  <c r="CD69" i="8"/>
  <c r="CE9" i="8"/>
  <c r="CD18" i="12"/>
  <c r="CE18" i="12" s="1"/>
  <c r="CD27" i="8"/>
  <c r="CC38" i="12"/>
  <c r="CC72" i="8"/>
  <c r="CC73" i="8"/>
  <c r="CC71" i="8"/>
  <c r="CE89" i="16"/>
  <c r="CE116" i="16"/>
  <c r="CE64" i="16"/>
  <c r="CE11" i="12"/>
  <c r="CE114" i="16"/>
  <c r="CD116" i="16"/>
  <c r="CD11" i="12"/>
  <c r="CD89" i="16"/>
  <c r="CD114" i="16"/>
  <c r="CD115" i="16"/>
  <c r="CD64" i="16"/>
  <c r="CD65" i="12"/>
  <c r="CD38" i="12"/>
  <c r="CD195" i="5"/>
  <c r="CD139" i="5"/>
  <c r="CD89" i="5"/>
  <c r="CE14" i="5"/>
  <c r="CE59" i="8" s="1"/>
  <c r="BZ59" i="8"/>
  <c r="BZ53" i="8" s="1"/>
  <c r="BZ108" i="8" s="1"/>
  <c r="BZ89" i="5"/>
  <c r="BY72" i="8"/>
  <c r="BY73" i="8"/>
  <c r="BX29" i="8"/>
  <c r="BX47" i="16"/>
  <c r="BX51" i="16" s="1"/>
  <c r="BW47" i="16"/>
  <c r="BW51" i="16" s="1"/>
  <c r="BW29" i="8"/>
  <c r="BZ106" i="8"/>
  <c r="BM119" i="8"/>
  <c r="BM121" i="8" s="1"/>
  <c r="BT47" i="16"/>
  <c r="BT51" i="16" s="1"/>
  <c r="BS18" i="16"/>
  <c r="BT19" i="16" s="1"/>
  <c r="BS45" i="16"/>
  <c r="BD47" i="16"/>
  <c r="BD51" i="16" s="1"/>
  <c r="BR18" i="16"/>
  <c r="BR45" i="16"/>
  <c r="BC47" i="16"/>
  <c r="BC51" i="16" s="1"/>
  <c r="BU106" i="8"/>
  <c r="BD86" i="5"/>
  <c r="BN19" i="16"/>
  <c r="BN21" i="16" s="1"/>
  <c r="BO19" i="16"/>
  <c r="BP29" i="8"/>
  <c r="BO18" i="16"/>
  <c r="BQ19" i="16" s="1"/>
  <c r="BO45" i="16"/>
  <c r="AZ47" i="16"/>
  <c r="AZ51" i="16" s="1"/>
  <c r="BH7" i="5"/>
  <c r="BL19" i="16"/>
  <c r="BH23" i="16"/>
  <c r="BK18" i="16"/>
  <c r="BP19" i="16" s="1"/>
  <c r="BK45" i="16"/>
  <c r="BK116" i="8"/>
  <c r="BK119" i="8" s="1"/>
  <c r="BI7" i="5"/>
  <c r="BI24" i="16"/>
  <c r="BI23" i="16"/>
  <c r="BD192" i="5"/>
  <c r="BD136" i="5"/>
  <c r="BE24" i="16"/>
  <c r="BE7" i="5"/>
  <c r="BC86" i="5"/>
  <c r="BC136" i="5"/>
  <c r="AT134" i="8"/>
  <c r="AT133" i="8"/>
  <c r="BE23" i="16"/>
  <c r="AO112" i="8"/>
  <c r="AO78" i="8"/>
  <c r="BA20" i="8"/>
  <c r="AW24" i="12"/>
  <c r="AX9" i="16"/>
  <c r="AY10" i="16" s="1"/>
  <c r="AL90" i="8"/>
  <c r="AL88" i="8" s="1"/>
  <c r="AP60" i="8"/>
  <c r="AN171" i="5"/>
  <c r="AQ99" i="5"/>
  <c r="AS136" i="5"/>
  <c r="AS192" i="5"/>
  <c r="AS86" i="5"/>
  <c r="AP38" i="5"/>
  <c r="AP212" i="5"/>
  <c r="AR27" i="5"/>
  <c r="AR28" i="5"/>
  <c r="AS37" i="5"/>
  <c r="AQ149" i="5"/>
  <c r="AQ27" i="5"/>
  <c r="AR149" i="5"/>
  <c r="AT23" i="5"/>
  <c r="AT22" i="5"/>
  <c r="AP156" i="5"/>
  <c r="AQ32" i="5"/>
  <c r="AP41" i="5"/>
  <c r="AP42" i="5" s="1"/>
  <c r="AS32" i="5"/>
  <c r="AS33" i="5"/>
  <c r="AR37" i="5"/>
  <c r="AR212" i="5" s="1"/>
  <c r="AR99" i="5"/>
  <c r="AR205" i="5"/>
  <c r="AQ37" i="5"/>
  <c r="AQ106" i="5" s="1"/>
  <c r="AQ33" i="5"/>
  <c r="AQ102" i="5"/>
  <c r="AN50" i="5"/>
  <c r="AN117" i="5"/>
  <c r="AN223" i="5"/>
  <c r="AN167" i="5"/>
  <c r="AO159" i="5"/>
  <c r="AO42" i="5"/>
  <c r="AO215" i="5"/>
  <c r="AO49" i="5"/>
  <c r="AM54" i="5"/>
  <c r="AT15" i="16"/>
  <c r="AT14" i="16"/>
  <c r="AU12" i="16"/>
  <c r="AU131" i="8" s="1"/>
  <c r="AV9" i="16"/>
  <c r="AV123" i="8"/>
  <c r="AV126" i="8"/>
  <c r="AT165" i="5"/>
  <c r="AT221" i="5"/>
  <c r="AT115" i="5"/>
  <c r="AM171" i="5"/>
  <c r="AM227" i="5"/>
  <c r="AM67" i="16"/>
  <c r="AM70" i="16" s="1"/>
  <c r="AM85" i="16" s="1"/>
  <c r="AM121" i="5"/>
  <c r="AS90" i="16"/>
  <c r="AS220" i="5"/>
  <c r="AS164" i="5"/>
  <c r="AS114" i="5"/>
  <c r="AT163" i="5"/>
  <c r="AT83" i="16"/>
  <c r="AT113" i="5"/>
  <c r="AM124" i="5"/>
  <c r="AM174" i="5"/>
  <c r="AV24" i="12"/>
  <c r="AM63" i="16"/>
  <c r="AM73" i="16" s="1"/>
  <c r="AS152" i="5"/>
  <c r="AS208" i="5"/>
  <c r="AS102" i="5"/>
  <c r="AS202" i="5"/>
  <c r="AS146" i="5"/>
  <c r="AS96" i="5"/>
  <c r="AM230" i="5"/>
  <c r="AM59" i="5"/>
  <c r="AI87" i="16"/>
  <c r="AI94" i="16" s="1"/>
  <c r="AI97" i="16" s="1"/>
  <c r="AG65" i="8"/>
  <c r="AH64" i="12"/>
  <c r="AH96" i="16"/>
  <c r="AH98" i="16"/>
  <c r="AH66" i="5" s="1"/>
  <c r="AH81" i="12"/>
  <c r="AH82" i="12" s="1"/>
  <c r="AK177" i="5"/>
  <c r="AF23" i="6"/>
  <c r="AK233" i="5"/>
  <c r="AK71" i="16"/>
  <c r="AL85" i="16"/>
  <c r="AL174" i="5"/>
  <c r="AL63" i="16"/>
  <c r="AL59" i="5"/>
  <c r="AL124" i="5"/>
  <c r="AL18" i="8"/>
  <c r="AQ93" i="8" s="1"/>
  <c r="AG51" i="8"/>
  <c r="AG45" i="8"/>
  <c r="AG54" i="8" s="1"/>
  <c r="AG67" i="5"/>
  <c r="AG71" i="12"/>
  <c r="AG68" i="5" s="1"/>
  <c r="AG69" i="12"/>
  <c r="AF24" i="6"/>
  <c r="BY107" i="8" l="1"/>
  <c r="BZ71" i="8"/>
  <c r="CE85" i="8"/>
  <c r="BY106" i="8"/>
  <c r="BY105" i="8"/>
  <c r="CB47" i="16"/>
  <c r="CB51" i="16" s="1"/>
  <c r="CB29" i="8"/>
  <c r="CC47" i="16"/>
  <c r="CC51" i="16" s="1"/>
  <c r="CC29" i="8"/>
  <c r="BZ105" i="8"/>
  <c r="CD21" i="12"/>
  <c r="CE21" i="12" s="1"/>
  <c r="CE27" i="8"/>
  <c r="CD103" i="8"/>
  <c r="CD53" i="8"/>
  <c r="CE35" i="12"/>
  <c r="CE38" i="12" s="1"/>
  <c r="CE95" i="8"/>
  <c r="CE65" i="12"/>
  <c r="CE52" i="8"/>
  <c r="CE74" i="8" s="1"/>
  <c r="CE69" i="8"/>
  <c r="CD73" i="8"/>
  <c r="CD71" i="8"/>
  <c r="CD72" i="8"/>
  <c r="CE16" i="5"/>
  <c r="CE89" i="5"/>
  <c r="CE139" i="5"/>
  <c r="BX116" i="8"/>
  <c r="BX119" i="8" s="1"/>
  <c r="BX121" i="8" s="1"/>
  <c r="BX45" i="16"/>
  <c r="BX18" i="16"/>
  <c r="BY19" i="16" s="1"/>
  <c r="BI47" i="16"/>
  <c r="BI51" i="16" s="1"/>
  <c r="BY47" i="16"/>
  <c r="BY51" i="16" s="1"/>
  <c r="BY29" i="8"/>
  <c r="BW45" i="16"/>
  <c r="BW116" i="8"/>
  <c r="BW18" i="16"/>
  <c r="BH47" i="16"/>
  <c r="BH51" i="16" s="1"/>
  <c r="BJ23" i="16"/>
  <c r="BU47" i="16"/>
  <c r="BU51" i="16" s="1"/>
  <c r="BP18" i="16"/>
  <c r="BU19" i="16" s="1"/>
  <c r="BH136" i="5"/>
  <c r="BU29" i="8"/>
  <c r="BZ47" i="16" s="1"/>
  <c r="BZ51" i="16" s="1"/>
  <c r="BT45" i="16"/>
  <c r="BT18" i="16"/>
  <c r="BT116" i="8"/>
  <c r="BE47" i="16"/>
  <c r="BE51" i="16" s="1"/>
  <c r="BS19" i="16"/>
  <c r="BS21" i="16" s="1"/>
  <c r="BR21" i="16"/>
  <c r="BN23" i="16"/>
  <c r="BM7" i="5"/>
  <c r="BO21" i="16"/>
  <c r="BM23" i="16"/>
  <c r="BH86" i="5"/>
  <c r="BN7" i="5"/>
  <c r="BN24" i="16"/>
  <c r="BP116" i="8"/>
  <c r="BP45" i="16"/>
  <c r="BA47" i="16"/>
  <c r="BA51" i="16" s="1"/>
  <c r="BJ7" i="5"/>
  <c r="BJ24" i="16"/>
  <c r="BI136" i="5"/>
  <c r="BI86" i="5"/>
  <c r="BI192" i="5"/>
  <c r="AU133" i="8"/>
  <c r="AU134" i="8"/>
  <c r="BE192" i="5"/>
  <c r="BE86" i="5"/>
  <c r="BE136" i="5"/>
  <c r="AP78" i="8"/>
  <c r="AP112" i="8"/>
  <c r="AW221" i="5"/>
  <c r="AW165" i="5"/>
  <c r="AO32" i="8"/>
  <c r="AO41" i="8" s="1"/>
  <c r="AX12" i="16"/>
  <c r="BA39" i="8"/>
  <c r="AV45" i="5"/>
  <c r="BA163" i="5" s="1"/>
  <c r="AZ163" i="5"/>
  <c r="AW146" i="5"/>
  <c r="AW202" i="5"/>
  <c r="AV12" i="16"/>
  <c r="AV14" i="16" s="1"/>
  <c r="BA10" i="16"/>
  <c r="AN227" i="5"/>
  <c r="AN67" i="16"/>
  <c r="AN70" i="16" s="1"/>
  <c r="AN85" i="16" s="1"/>
  <c r="AN54" i="5"/>
  <c r="AN56" i="5"/>
  <c r="AN59" i="5" s="1"/>
  <c r="AN121" i="5"/>
  <c r="AL100" i="8"/>
  <c r="AL98" i="8" s="1"/>
  <c r="AS99" i="5"/>
  <c r="AP159" i="5"/>
  <c r="AP109" i="5"/>
  <c r="AQ41" i="5"/>
  <c r="AQ49" i="5" s="1"/>
  <c r="AP49" i="5"/>
  <c r="AT136" i="5"/>
  <c r="AT192" i="5"/>
  <c r="AT86" i="5"/>
  <c r="AP215" i="5"/>
  <c r="AS149" i="5"/>
  <c r="AS205" i="5"/>
  <c r="AM233" i="5"/>
  <c r="AS27" i="5"/>
  <c r="AT205" i="5"/>
  <c r="AS28" i="5"/>
  <c r="AR60" i="8"/>
  <c r="AR41" i="5"/>
  <c r="AT32" i="5"/>
  <c r="AT33" i="5"/>
  <c r="AR106" i="5"/>
  <c r="AR38" i="5"/>
  <c r="AR156" i="5"/>
  <c r="AQ60" i="8"/>
  <c r="AQ38" i="5"/>
  <c r="AQ156" i="5"/>
  <c r="AO223" i="5"/>
  <c r="AO50" i="5"/>
  <c r="AO117" i="5"/>
  <c r="AO167" i="5"/>
  <c r="AU15" i="16"/>
  <c r="AU14" i="16"/>
  <c r="AU221" i="5"/>
  <c r="AU165" i="5"/>
  <c r="AU115" i="5"/>
  <c r="AV47" i="5"/>
  <c r="AT90" i="16"/>
  <c r="AT220" i="5"/>
  <c r="AT164" i="5"/>
  <c r="AT114" i="5"/>
  <c r="AU163" i="5"/>
  <c r="AU113" i="5"/>
  <c r="AV17" i="12"/>
  <c r="AT208" i="5"/>
  <c r="AT152" i="5"/>
  <c r="AT102" i="5"/>
  <c r="AS60" i="8"/>
  <c r="AS212" i="5"/>
  <c r="AS156" i="5"/>
  <c r="AS106" i="5"/>
  <c r="AS38" i="5"/>
  <c r="AT202" i="5"/>
  <c r="AT146" i="5"/>
  <c r="AT96" i="5"/>
  <c r="AH23" i="6"/>
  <c r="AM177" i="5"/>
  <c r="AI98" i="16"/>
  <c r="AI66" i="5" s="1"/>
  <c r="AI65" i="5"/>
  <c r="AI96" i="16"/>
  <c r="AI81" i="12"/>
  <c r="AI82" i="12" s="1"/>
  <c r="AI63" i="8"/>
  <c r="AI64" i="12"/>
  <c r="AI68" i="12" s="1"/>
  <c r="AI65" i="8" s="1"/>
  <c r="AH68" i="12"/>
  <c r="AH69" i="12" s="1"/>
  <c r="AM71" i="16"/>
  <c r="AJ64" i="12"/>
  <c r="AJ74" i="16"/>
  <c r="AJ87" i="16"/>
  <c r="AJ94" i="16" s="1"/>
  <c r="AJ81" i="12" s="1"/>
  <c r="AJ82" i="12" s="1"/>
  <c r="AJ63" i="8"/>
  <c r="AL73" i="16"/>
  <c r="AL71" i="16" s="1"/>
  <c r="AM74" i="16"/>
  <c r="AQ10" i="8"/>
  <c r="AQ76" i="8" s="1"/>
  <c r="AQ79" i="8" s="1"/>
  <c r="AL177" i="5"/>
  <c r="AG23" i="6"/>
  <c r="AK74" i="16"/>
  <c r="AK87" i="16"/>
  <c r="AK94" i="16" s="1"/>
  <c r="AG24" i="6"/>
  <c r="AH24" i="6"/>
  <c r="CD29" i="8" l="1"/>
  <c r="CD47" i="16"/>
  <c r="CD51" i="16" s="1"/>
  <c r="CC116" i="8"/>
  <c r="CC119" i="8" s="1"/>
  <c r="CC121" i="8" s="1"/>
  <c r="CC18" i="16"/>
  <c r="CC45" i="16"/>
  <c r="BN47" i="16"/>
  <c r="BN51" i="16" s="1"/>
  <c r="CB18" i="16"/>
  <c r="CB45" i="16"/>
  <c r="CB116" i="8"/>
  <c r="CB119" i="8" s="1"/>
  <c r="CB121" i="8" s="1"/>
  <c r="BM47" i="16"/>
  <c r="BM51" i="16" s="1"/>
  <c r="CE71" i="8"/>
  <c r="CE72" i="8"/>
  <c r="CD107" i="8"/>
  <c r="CD105" i="8"/>
  <c r="CD106" i="8"/>
  <c r="CE53" i="8"/>
  <c r="CE108" i="8" s="1"/>
  <c r="CE103" i="8"/>
  <c r="CE91" i="5"/>
  <c r="CE141" i="5"/>
  <c r="CE18" i="5"/>
  <c r="BT21" i="16"/>
  <c r="BV19" i="16"/>
  <c r="BV21" i="16" s="1"/>
  <c r="BY18" i="16"/>
  <c r="BZ29" i="8"/>
  <c r="CE47" i="16" s="1"/>
  <c r="CE51" i="16" s="1"/>
  <c r="BY45" i="16"/>
  <c r="BY116" i="8"/>
  <c r="BY119" i="8" s="1"/>
  <c r="BY121" i="8" s="1"/>
  <c r="BJ47" i="16"/>
  <c r="BJ51" i="16" s="1"/>
  <c r="BX19" i="16"/>
  <c r="BX21" i="16" s="1"/>
  <c r="BW21" i="16"/>
  <c r="BW119" i="8"/>
  <c r="BW121" i="8" s="1"/>
  <c r="BM136" i="5"/>
  <c r="BS23" i="16"/>
  <c r="BT119" i="8"/>
  <c r="BT121" i="8" s="1"/>
  <c r="BP119" i="8"/>
  <c r="BR7" i="5"/>
  <c r="BJ192" i="5"/>
  <c r="BR23" i="16"/>
  <c r="BU116" i="8"/>
  <c r="BU45" i="16"/>
  <c r="BU18" i="16"/>
  <c r="BZ19" i="16" s="1"/>
  <c r="BF47" i="16"/>
  <c r="BF51" i="16" s="1"/>
  <c r="BS7" i="5"/>
  <c r="BS24" i="16"/>
  <c r="BN136" i="5"/>
  <c r="BO23" i="16"/>
  <c r="BM86" i="5"/>
  <c r="BO24" i="16"/>
  <c r="BO7" i="5"/>
  <c r="D8" i="7" s="1"/>
  <c r="BN86" i="5"/>
  <c r="BN192" i="5"/>
  <c r="BJ86" i="5"/>
  <c r="BJ136" i="5"/>
  <c r="BB9" i="16"/>
  <c r="BC10" i="16" s="1"/>
  <c r="BF30" i="8"/>
  <c r="AR32" i="8"/>
  <c r="AR41" i="8" s="1"/>
  <c r="AR112" i="8"/>
  <c r="AR78" i="8"/>
  <c r="AQ78" i="8"/>
  <c r="AV163" i="5"/>
  <c r="AV113" i="5"/>
  <c r="AV83" i="16"/>
  <c r="AX221" i="5"/>
  <c r="AX115" i="5"/>
  <c r="AX165" i="5"/>
  <c r="AO56" i="5"/>
  <c r="AO124" i="5" s="1"/>
  <c r="AP32" i="8"/>
  <c r="AP41" i="8" s="1"/>
  <c r="AX131" i="8"/>
  <c r="AX14" i="16"/>
  <c r="BA35" i="8"/>
  <c r="BC127" i="8" s="1"/>
  <c r="AZ9" i="16"/>
  <c r="BB10" i="16" s="1"/>
  <c r="AZ10" i="16"/>
  <c r="AY12" i="16"/>
  <c r="AY131" i="8" s="1"/>
  <c r="AV86" i="5"/>
  <c r="AV131" i="8"/>
  <c r="AV133" i="8" s="1"/>
  <c r="AO121" i="5"/>
  <c r="AV46" i="5"/>
  <c r="AV90" i="16" s="1"/>
  <c r="AN63" i="16"/>
  <c r="AW208" i="5"/>
  <c r="AW152" i="5"/>
  <c r="AX202" i="5"/>
  <c r="AX146" i="5"/>
  <c r="AX96" i="5"/>
  <c r="AO171" i="5"/>
  <c r="AR215" i="5"/>
  <c r="AR42" i="5"/>
  <c r="AN230" i="5"/>
  <c r="AN174" i="5"/>
  <c r="AN124" i="5"/>
  <c r="AN233" i="5"/>
  <c r="AQ28" i="8"/>
  <c r="AQ110" i="8" s="1"/>
  <c r="AQ113" i="8" s="1"/>
  <c r="AO227" i="5"/>
  <c r="AO70" i="16"/>
  <c r="AO85" i="16" s="1"/>
  <c r="AO54" i="5"/>
  <c r="AP117" i="5"/>
  <c r="AP50" i="5"/>
  <c r="AQ159" i="5"/>
  <c r="AQ42" i="5"/>
  <c r="AQ109" i="5"/>
  <c r="AP223" i="5"/>
  <c r="AP167" i="5"/>
  <c r="AI23" i="6"/>
  <c r="AN177" i="5"/>
  <c r="AR49" i="5"/>
  <c r="AU136" i="5"/>
  <c r="AU192" i="5"/>
  <c r="AU86" i="5"/>
  <c r="AT99" i="5"/>
  <c r="AT149" i="5"/>
  <c r="AR109" i="5"/>
  <c r="AR159" i="5"/>
  <c r="AT37" i="5"/>
  <c r="AT38" i="5" s="1"/>
  <c r="AT28" i="5"/>
  <c r="AT27" i="5"/>
  <c r="AV165" i="5"/>
  <c r="AV115" i="5"/>
  <c r="AU220" i="5"/>
  <c r="AU164" i="5"/>
  <c r="AU114" i="5"/>
  <c r="AU208" i="5"/>
  <c r="AU152" i="5"/>
  <c r="AU102" i="5"/>
  <c r="AV31" i="5"/>
  <c r="AU202" i="5"/>
  <c r="AU146" i="5"/>
  <c r="AU96" i="5"/>
  <c r="AV21" i="5"/>
  <c r="AI69" i="12"/>
  <c r="AI83" i="12"/>
  <c r="AI67" i="5"/>
  <c r="AI71" i="12"/>
  <c r="AI68" i="5" s="1"/>
  <c r="AH71" i="12"/>
  <c r="AH68" i="5" s="1"/>
  <c r="AJ68" i="12"/>
  <c r="AJ65" i="8" s="1"/>
  <c r="AH67" i="5"/>
  <c r="AI70" i="12"/>
  <c r="AH65" i="8"/>
  <c r="AH23" i="8"/>
  <c r="AJ98" i="16"/>
  <c r="AJ66" i="5" s="1"/>
  <c r="AJ83" i="12"/>
  <c r="AJ96" i="16"/>
  <c r="AL61" i="12"/>
  <c r="AQ60" i="12" s="1"/>
  <c r="AJ97" i="16"/>
  <c r="AJ65" i="5"/>
  <c r="AK63" i="8"/>
  <c r="AK64" i="12"/>
  <c r="AK68" i="12" s="1"/>
  <c r="AQ53" i="5"/>
  <c r="AP70" i="16"/>
  <c r="AP121" i="5"/>
  <c r="AP54" i="5"/>
  <c r="AP171" i="5"/>
  <c r="AP227" i="5"/>
  <c r="AQ117" i="5"/>
  <c r="AQ167" i="5"/>
  <c r="AQ50" i="5"/>
  <c r="AP56" i="5"/>
  <c r="AK97" i="16"/>
  <c r="AK65" i="5"/>
  <c r="AK98" i="16"/>
  <c r="AK66" i="5" s="1"/>
  <c r="AK81" i="12"/>
  <c r="AH47" i="8"/>
  <c r="AI24" i="6"/>
  <c r="CD19" i="16" l="1"/>
  <c r="BY21" i="16"/>
  <c r="CA19" i="16"/>
  <c r="CA21" i="16" s="1"/>
  <c r="CC19" i="16"/>
  <c r="CC21" i="16" s="1"/>
  <c r="CB21" i="16"/>
  <c r="CD45" i="16"/>
  <c r="CE29" i="8"/>
  <c r="CD116" i="8"/>
  <c r="CD119" i="8" s="1"/>
  <c r="CD121" i="8" s="1"/>
  <c r="CD18" i="16"/>
  <c r="BO47" i="16"/>
  <c r="BO51" i="16" s="1"/>
  <c r="BV7" i="5"/>
  <c r="BV86" i="5" s="1"/>
  <c r="BX23" i="16"/>
  <c r="CE106" i="8"/>
  <c r="CE105" i="8"/>
  <c r="BT24" i="16"/>
  <c r="BT7" i="5"/>
  <c r="BT23" i="16"/>
  <c r="BV24" i="16"/>
  <c r="BZ45" i="16"/>
  <c r="BZ18" i="16"/>
  <c r="BZ116" i="8"/>
  <c r="BZ119" i="8" s="1"/>
  <c r="BK47" i="16"/>
  <c r="BK51" i="16" s="1"/>
  <c r="BW7" i="5"/>
  <c r="BW24" i="16"/>
  <c r="BW23" i="16"/>
  <c r="BX7" i="5"/>
  <c r="BX24" i="16"/>
  <c r="BR86" i="5"/>
  <c r="BS136" i="5"/>
  <c r="BR136" i="5"/>
  <c r="BU119" i="8"/>
  <c r="BS192" i="5"/>
  <c r="BS86" i="5"/>
  <c r="BO192" i="5"/>
  <c r="BO136" i="5"/>
  <c r="BO86" i="5"/>
  <c r="AY134" i="8"/>
  <c r="AY133" i="8"/>
  <c r="AQ112" i="8"/>
  <c r="BB24" i="12"/>
  <c r="BC9" i="16"/>
  <c r="BF20" i="8"/>
  <c r="AY221" i="5"/>
  <c r="AY115" i="5"/>
  <c r="AY165" i="5"/>
  <c r="AV164" i="5"/>
  <c r="AV114" i="5"/>
  <c r="AO63" i="16"/>
  <c r="AO59" i="5"/>
  <c r="AJ23" i="6" s="1"/>
  <c r="AO174" i="5"/>
  <c r="AO230" i="5"/>
  <c r="AQ32" i="8"/>
  <c r="AQ41" i="8" s="1"/>
  <c r="BA37" i="8"/>
  <c r="BA36" i="8"/>
  <c r="AZ12" i="16"/>
  <c r="AZ131" i="8" s="1"/>
  <c r="AX133" i="8"/>
  <c r="AX86" i="5"/>
  <c r="AX136" i="5"/>
  <c r="AY15" i="16"/>
  <c r="AY14" i="16"/>
  <c r="BA123" i="8"/>
  <c r="BA126" i="8"/>
  <c r="BA9" i="16"/>
  <c r="AV136" i="5"/>
  <c r="AU205" i="5"/>
  <c r="AX208" i="5"/>
  <c r="AX152" i="5"/>
  <c r="AX102" i="5"/>
  <c r="AW220" i="5"/>
  <c r="AW90" i="16"/>
  <c r="AW164" i="5"/>
  <c r="AY202" i="5"/>
  <c r="AY146" i="5"/>
  <c r="AY96" i="5"/>
  <c r="AR54" i="5"/>
  <c r="AR167" i="5"/>
  <c r="AR117" i="5"/>
  <c r="AR50" i="5"/>
  <c r="AR223" i="5"/>
  <c r="AT60" i="8"/>
  <c r="AU37" i="5"/>
  <c r="AU99" i="5"/>
  <c r="AT106" i="5"/>
  <c r="AT212" i="5"/>
  <c r="AT156" i="5"/>
  <c r="AV26" i="5"/>
  <c r="AV99" i="5" s="1"/>
  <c r="AU149" i="5"/>
  <c r="AV33" i="5"/>
  <c r="AV152" i="5"/>
  <c r="AV32" i="5"/>
  <c r="AV102" i="5"/>
  <c r="AV146" i="5"/>
  <c r="AV23" i="5"/>
  <c r="AV22" i="5"/>
  <c r="AV96" i="5"/>
  <c r="AQ56" i="5"/>
  <c r="AQ63" i="16" s="1"/>
  <c r="AJ67" i="5"/>
  <c r="AJ70" i="12"/>
  <c r="AJ71" i="12"/>
  <c r="AJ68" i="5" s="1"/>
  <c r="AJ69" i="12"/>
  <c r="AH49" i="8"/>
  <c r="AH50" i="8" s="1"/>
  <c r="AL64" i="12"/>
  <c r="AL68" i="12" s="1"/>
  <c r="AL63" i="8"/>
  <c r="AL87" i="16"/>
  <c r="AL94" i="16" s="1"/>
  <c r="AL65" i="5" s="1"/>
  <c r="AL74" i="16"/>
  <c r="AM64" i="12"/>
  <c r="AK67" i="5"/>
  <c r="AK65" i="8"/>
  <c r="AK70" i="12"/>
  <c r="AK71" i="12"/>
  <c r="AK68" i="5" s="1"/>
  <c r="AP85" i="16"/>
  <c r="AP59" i="5"/>
  <c r="AP230" i="5"/>
  <c r="AP63" i="16"/>
  <c r="AP124" i="5"/>
  <c r="AP174" i="5"/>
  <c r="AQ121" i="5"/>
  <c r="AQ67" i="16"/>
  <c r="AQ70" i="16" s="1"/>
  <c r="AQ171" i="5"/>
  <c r="AQ54" i="5"/>
  <c r="AM63" i="8"/>
  <c r="AM87" i="16"/>
  <c r="AM94" i="16" s="1"/>
  <c r="AK83" i="12"/>
  <c r="AH45" i="8"/>
  <c r="AH54" i="8" s="1"/>
  <c r="AH51" i="8"/>
  <c r="AJ24" i="6"/>
  <c r="BT136" i="5" l="1"/>
  <c r="G8" i="7"/>
  <c r="CD21" i="16"/>
  <c r="CB23" i="16"/>
  <c r="CA7" i="5"/>
  <c r="CA86" i="5" s="1"/>
  <c r="BY24" i="16"/>
  <c r="BY7" i="5"/>
  <c r="BY86" i="5" s="1"/>
  <c r="BY23" i="16"/>
  <c r="CC24" i="16"/>
  <c r="CC7" i="5"/>
  <c r="CC23" i="16"/>
  <c r="CC26" i="16"/>
  <c r="CA24" i="16"/>
  <c r="CA23" i="16"/>
  <c r="BZ21" i="16"/>
  <c r="CE19" i="16"/>
  <c r="CB7" i="5"/>
  <c r="CB136" i="5" s="1"/>
  <c r="CB24" i="16"/>
  <c r="CA26" i="16"/>
  <c r="CB26" i="16"/>
  <c r="CE116" i="8"/>
  <c r="CE119" i="8" s="1"/>
  <c r="CE121" i="8" s="1"/>
  <c r="CE45" i="16"/>
  <c r="CE18" i="16"/>
  <c r="BP47" i="16"/>
  <c r="BP51" i="16" s="1"/>
  <c r="BX136" i="5"/>
  <c r="BW136" i="5"/>
  <c r="BT192" i="5"/>
  <c r="BV192" i="5"/>
  <c r="BT86" i="5"/>
  <c r="BW86" i="5"/>
  <c r="BW192" i="5"/>
  <c r="BX86" i="5"/>
  <c r="BX192" i="5"/>
  <c r="AZ133" i="8"/>
  <c r="AZ134" i="8"/>
  <c r="AO177" i="5"/>
  <c r="AO233" i="5"/>
  <c r="BF39" i="8"/>
  <c r="BD9" i="16"/>
  <c r="BD10" i="16"/>
  <c r="BC12" i="16"/>
  <c r="BC131" i="8" s="1"/>
  <c r="BA47" i="5"/>
  <c r="BA21" i="5"/>
  <c r="BA146" i="5" s="1"/>
  <c r="BF10" i="16"/>
  <c r="AZ165" i="5"/>
  <c r="AZ221" i="5"/>
  <c r="AZ115" i="5"/>
  <c r="AY192" i="5"/>
  <c r="AY86" i="5"/>
  <c r="AY136" i="5"/>
  <c r="BA17" i="8"/>
  <c r="AZ15" i="16"/>
  <c r="AZ14" i="16"/>
  <c r="AR121" i="5"/>
  <c r="AR67" i="16"/>
  <c r="AR70" i="16" s="1"/>
  <c r="AR85" i="16" s="1"/>
  <c r="AR56" i="5"/>
  <c r="AR230" i="5" s="1"/>
  <c r="AR171" i="5"/>
  <c r="AR227" i="5"/>
  <c r="AX90" i="16"/>
  <c r="AX220" i="5"/>
  <c r="AX164" i="5"/>
  <c r="AX114" i="5"/>
  <c r="AY208" i="5"/>
  <c r="AY152" i="5"/>
  <c r="AY102" i="5"/>
  <c r="AW205" i="5"/>
  <c r="AW149" i="5"/>
  <c r="AW37" i="5"/>
  <c r="AW212" i="5" s="1"/>
  <c r="AZ202" i="5"/>
  <c r="AZ146" i="5"/>
  <c r="AZ96" i="5"/>
  <c r="AU38" i="5"/>
  <c r="AV37" i="5"/>
  <c r="AV60" i="8" s="1"/>
  <c r="AU212" i="5"/>
  <c r="AU156" i="5"/>
  <c r="AU106" i="5"/>
  <c r="AU60" i="8"/>
  <c r="AV27" i="5"/>
  <c r="AV28" i="5"/>
  <c r="AV149" i="5"/>
  <c r="AQ174" i="5"/>
  <c r="AQ59" i="5"/>
  <c r="AQ124" i="5"/>
  <c r="AM81" i="12"/>
  <c r="AM83" i="12" s="1"/>
  <c r="AM68" i="12"/>
  <c r="AL65" i="8"/>
  <c r="AL98" i="16"/>
  <c r="AL66" i="5" s="1"/>
  <c r="AL67" i="5"/>
  <c r="AL69" i="12"/>
  <c r="AL71" i="12"/>
  <c r="AL68" i="5" s="1"/>
  <c r="AL81" i="12"/>
  <c r="AK23" i="6"/>
  <c r="AP177" i="5"/>
  <c r="AP233" i="5"/>
  <c r="AQ85" i="16"/>
  <c r="AM98" i="16"/>
  <c r="AM66" i="5" s="1"/>
  <c r="AM96" i="16"/>
  <c r="AM97" i="16"/>
  <c r="AM65" i="5"/>
  <c r="AK24" i="6"/>
  <c r="CA136" i="5" l="1"/>
  <c r="CD7" i="5"/>
  <c r="CD86" i="5" s="1"/>
  <c r="CD24" i="16"/>
  <c r="CD26" i="16"/>
  <c r="CD23" i="16"/>
  <c r="BZ7" i="5"/>
  <c r="BZ86" i="5" s="1"/>
  <c r="CA192" i="5"/>
  <c r="BY192" i="5"/>
  <c r="BY136" i="5"/>
  <c r="CE21" i="16"/>
  <c r="CB86" i="5"/>
  <c r="CB192" i="5"/>
  <c r="CC192" i="5"/>
  <c r="CC86" i="5"/>
  <c r="CC136" i="5"/>
  <c r="BC133" i="8"/>
  <c r="BG9" i="16"/>
  <c r="BH10" i="16" s="1"/>
  <c r="BK30" i="8"/>
  <c r="BI20" i="12"/>
  <c r="BA165" i="5"/>
  <c r="BA23" i="5"/>
  <c r="BE36" i="8"/>
  <c r="BD12" i="16"/>
  <c r="BD131" i="8" s="1"/>
  <c r="BE10" i="16"/>
  <c r="BG10" i="16"/>
  <c r="BF35" i="8"/>
  <c r="BH127" i="8" s="1"/>
  <c r="BC14" i="16"/>
  <c r="BB165" i="5"/>
  <c r="BB221" i="5"/>
  <c r="BB90" i="16"/>
  <c r="BA31" i="5"/>
  <c r="BA152" i="5" s="1"/>
  <c r="BB146" i="5"/>
  <c r="BB202" i="5"/>
  <c r="BB23" i="5"/>
  <c r="AR124" i="5"/>
  <c r="AR59" i="5"/>
  <c r="AR174" i="5"/>
  <c r="AR63" i="16"/>
  <c r="AZ192" i="5"/>
  <c r="AZ86" i="5"/>
  <c r="AZ136" i="5"/>
  <c r="AZ152" i="5"/>
  <c r="AZ208" i="5"/>
  <c r="AZ102" i="5"/>
  <c r="AW60" i="8"/>
  <c r="AW156" i="5"/>
  <c r="AX205" i="5"/>
  <c r="AX149" i="5"/>
  <c r="AX99" i="5"/>
  <c r="AX37" i="5"/>
  <c r="AY220" i="5"/>
  <c r="AY164" i="5"/>
  <c r="AY114" i="5"/>
  <c r="AV106" i="5"/>
  <c r="AV38" i="5"/>
  <c r="AV156" i="5"/>
  <c r="AL23" i="6"/>
  <c r="AQ177" i="5"/>
  <c r="AQ15" i="8"/>
  <c r="AM65" i="8"/>
  <c r="AM82" i="12"/>
  <c r="AM67" i="5"/>
  <c r="AM71" i="12"/>
  <c r="AM68" i="5" s="1"/>
  <c r="AM70" i="12"/>
  <c r="AM69" i="12"/>
  <c r="AL24" i="6"/>
  <c r="CD192" i="5" l="1"/>
  <c r="CD136" i="5"/>
  <c r="CE7" i="5"/>
  <c r="CE23" i="16"/>
  <c r="BD133" i="8"/>
  <c r="BD134" i="8"/>
  <c r="BH9" i="16"/>
  <c r="BK20" i="8"/>
  <c r="AV82" i="8"/>
  <c r="AQ90" i="8"/>
  <c r="BF37" i="8"/>
  <c r="BF36" i="8"/>
  <c r="BE12" i="16"/>
  <c r="BE131" i="8" s="1"/>
  <c r="BF9" i="16"/>
  <c r="BK10" i="16" s="1"/>
  <c r="BF126" i="8"/>
  <c r="BF123" i="8"/>
  <c r="BF129" i="8" s="1"/>
  <c r="BD15" i="16"/>
  <c r="BD14" i="16"/>
  <c r="BC165" i="5"/>
  <c r="BC221" i="5"/>
  <c r="BC90" i="16"/>
  <c r="BC115" i="5"/>
  <c r="BA33" i="5"/>
  <c r="BB152" i="5"/>
  <c r="BB33" i="5"/>
  <c r="BB208" i="5"/>
  <c r="BC23" i="5"/>
  <c r="BC202" i="5"/>
  <c r="BC146" i="5"/>
  <c r="BC96" i="5"/>
  <c r="BC22" i="5"/>
  <c r="AR233" i="5"/>
  <c r="AR177" i="5"/>
  <c r="AM23" i="6"/>
  <c r="AW32" i="8"/>
  <c r="AW41" i="8" s="1"/>
  <c r="AY149" i="5"/>
  <c r="AY205" i="5"/>
  <c r="AY99" i="5"/>
  <c r="AY37" i="5"/>
  <c r="AX38" i="5"/>
  <c r="AX106" i="5"/>
  <c r="AX60" i="8"/>
  <c r="AX212" i="5"/>
  <c r="AX156" i="5"/>
  <c r="AZ90" i="16"/>
  <c r="AZ220" i="5"/>
  <c r="AZ164" i="5"/>
  <c r="AZ114" i="5"/>
  <c r="BA46" i="5"/>
  <c r="BF164" i="5" s="1"/>
  <c r="AM24" i="6"/>
  <c r="CE86" i="5" l="1"/>
  <c r="CE136" i="5"/>
  <c r="BE133" i="8"/>
  <c r="BE134" i="8"/>
  <c r="BI36" i="8"/>
  <c r="BI9" i="16"/>
  <c r="BJ10" i="16" s="1"/>
  <c r="BI127" i="8"/>
  <c r="BI123" i="8"/>
  <c r="BI129" i="8" s="1"/>
  <c r="BN130" i="8" s="1"/>
  <c r="BI126" i="8"/>
  <c r="BK39" i="8"/>
  <c r="BH12" i="16"/>
  <c r="BH131" i="8" s="1"/>
  <c r="BI10" i="16"/>
  <c r="BE15" i="16"/>
  <c r="BE14" i="16"/>
  <c r="BF17" i="8"/>
  <c r="BD165" i="5"/>
  <c r="BD221" i="5"/>
  <c r="BD90" i="16"/>
  <c r="BD115" i="5"/>
  <c r="BC33" i="5"/>
  <c r="BC208" i="5"/>
  <c r="BC152" i="5"/>
  <c r="BC102" i="5"/>
  <c r="BC32" i="5"/>
  <c r="BD23" i="5"/>
  <c r="BD146" i="5"/>
  <c r="BD202" i="5"/>
  <c r="BD22" i="5"/>
  <c r="BD96" i="5"/>
  <c r="BA26" i="5"/>
  <c r="BA149" i="5" s="1"/>
  <c r="AZ205" i="5"/>
  <c r="AZ149" i="5"/>
  <c r="AZ99" i="5"/>
  <c r="AZ37" i="5"/>
  <c r="AY60" i="8"/>
  <c r="AY212" i="5"/>
  <c r="AY156" i="5"/>
  <c r="AY106" i="5"/>
  <c r="AY38" i="5"/>
  <c r="BA90" i="16"/>
  <c r="BA164" i="5"/>
  <c r="AP73" i="16"/>
  <c r="BH133" i="8" l="1"/>
  <c r="BP30" i="8"/>
  <c r="BL9" i="16"/>
  <c r="BM10" i="16" s="1"/>
  <c r="BL123" i="8"/>
  <c r="BL129" i="8" s="1"/>
  <c r="BL127" i="8"/>
  <c r="BL126" i="8"/>
  <c r="BI12" i="16"/>
  <c r="BJ9" i="16"/>
  <c r="BK35" i="8"/>
  <c r="BI24" i="12"/>
  <c r="BH14" i="16"/>
  <c r="BF47" i="5"/>
  <c r="BF165" i="5" s="1"/>
  <c r="BF21" i="5"/>
  <c r="BF146" i="5" s="1"/>
  <c r="BE221" i="5"/>
  <c r="BE165" i="5"/>
  <c r="BE90" i="16"/>
  <c r="BE115" i="5"/>
  <c r="BD208" i="5"/>
  <c r="BD33" i="5"/>
  <c r="BD152" i="5"/>
  <c r="BD102" i="5"/>
  <c r="BD32" i="5"/>
  <c r="BA37" i="5"/>
  <c r="BA28" i="5"/>
  <c r="BE146" i="5"/>
  <c r="BE202" i="5"/>
  <c r="BE23" i="5"/>
  <c r="BE96" i="5"/>
  <c r="BE22" i="5"/>
  <c r="BB149" i="5"/>
  <c r="BB205" i="5"/>
  <c r="BB37" i="5"/>
  <c r="BB39" i="5" s="1"/>
  <c r="BB28" i="5"/>
  <c r="AZ156" i="5"/>
  <c r="AZ106" i="5"/>
  <c r="AZ38" i="5"/>
  <c r="AZ60" i="8"/>
  <c r="AZ212" i="5"/>
  <c r="AP71" i="16"/>
  <c r="AP27" i="12"/>
  <c r="AQ18" i="8"/>
  <c r="BG23" i="5" l="1"/>
  <c r="BP20" i="8"/>
  <c r="BM126" i="8"/>
  <c r="BM123" i="8"/>
  <c r="BM129" i="8" s="1"/>
  <c r="BM9" i="16"/>
  <c r="BM127" i="8"/>
  <c r="BJ12" i="16"/>
  <c r="BJ131" i="8" s="1"/>
  <c r="BL10" i="16"/>
  <c r="BI15" i="16"/>
  <c r="BI131" i="8"/>
  <c r="BI133" i="8" s="1"/>
  <c r="BI14" i="16"/>
  <c r="BF90" i="16"/>
  <c r="BK9" i="16"/>
  <c r="BP10" i="16" s="1"/>
  <c r="BK126" i="8"/>
  <c r="BK123" i="8"/>
  <c r="BK129" i="8" s="1"/>
  <c r="BK36" i="8"/>
  <c r="BK37" i="8"/>
  <c r="BF23" i="5"/>
  <c r="BG90" i="16"/>
  <c r="BG221" i="5"/>
  <c r="BG165" i="5"/>
  <c r="BG202" i="5"/>
  <c r="BG146" i="5"/>
  <c r="BF31" i="5"/>
  <c r="BF152" i="5" s="1"/>
  <c r="AV93" i="8"/>
  <c r="AQ100" i="8"/>
  <c r="BA60" i="8"/>
  <c r="BA156" i="5"/>
  <c r="BE33" i="5"/>
  <c r="BE152" i="5"/>
  <c r="BE208" i="5"/>
  <c r="BE32" i="5"/>
  <c r="BE102" i="5"/>
  <c r="BB60" i="8"/>
  <c r="BB212" i="5"/>
  <c r="BB156" i="5"/>
  <c r="BC205" i="5"/>
  <c r="BC149" i="5"/>
  <c r="BC28" i="5"/>
  <c r="BC37" i="5"/>
  <c r="BC39" i="5" s="1"/>
  <c r="BC27" i="5"/>
  <c r="BC99" i="5"/>
  <c r="AP87" i="16"/>
  <c r="AP94" i="16" s="1"/>
  <c r="AP81" i="12" s="1"/>
  <c r="AP64" i="12"/>
  <c r="AP68" i="12" s="1"/>
  <c r="AP63" i="8"/>
  <c r="AP74" i="16"/>
  <c r="BJ133" i="8" l="1"/>
  <c r="BJ134" i="8"/>
  <c r="BH22" i="5"/>
  <c r="BH23" i="5"/>
  <c r="BV30" i="8"/>
  <c r="BR20" i="12"/>
  <c r="BG33" i="5"/>
  <c r="BP39" i="8"/>
  <c r="BN9" i="16"/>
  <c r="BN10" i="16"/>
  <c r="BM12" i="16"/>
  <c r="BJ14" i="16"/>
  <c r="BJ15" i="16"/>
  <c r="BI134" i="8"/>
  <c r="BF33" i="5"/>
  <c r="BK17" i="8"/>
  <c r="BH32" i="5"/>
  <c r="BH33" i="5"/>
  <c r="BH221" i="5"/>
  <c r="BH165" i="5"/>
  <c r="BH90" i="16"/>
  <c r="BH115" i="5"/>
  <c r="BH146" i="5"/>
  <c r="BH202" i="5"/>
  <c r="BH96" i="5"/>
  <c r="BG152" i="5"/>
  <c r="BG208" i="5"/>
  <c r="BC60" i="8"/>
  <c r="BC212" i="5"/>
  <c r="BC156" i="5"/>
  <c r="BC106" i="5"/>
  <c r="BC38" i="5"/>
  <c r="BC41" i="5"/>
  <c r="BC90" i="12" s="1"/>
  <c r="BD149" i="5"/>
  <c r="BD28" i="5"/>
  <c r="BD205" i="5"/>
  <c r="BD37" i="5"/>
  <c r="BD39" i="5" s="1"/>
  <c r="BD99" i="5"/>
  <c r="BD27" i="5"/>
  <c r="AP96" i="16"/>
  <c r="AP98" i="16"/>
  <c r="AP66" i="5" s="1"/>
  <c r="AP65" i="5"/>
  <c r="AP65" i="8"/>
  <c r="AP71" i="12"/>
  <c r="AP68" i="5" s="1"/>
  <c r="AP67" i="5"/>
  <c r="AP69" i="12"/>
  <c r="AP82" i="12"/>
  <c r="BW30" i="8" l="1"/>
  <c r="BI22" i="5"/>
  <c r="BL146" i="5"/>
  <c r="BI23" i="5"/>
  <c r="BQ9" i="16"/>
  <c r="BR10" i="16" s="1"/>
  <c r="BU30" i="8"/>
  <c r="BV20" i="8"/>
  <c r="BS20" i="12"/>
  <c r="BT20" i="12" s="1"/>
  <c r="BC78" i="8"/>
  <c r="BC112" i="8"/>
  <c r="BQ36" i="8"/>
  <c r="BO10" i="16"/>
  <c r="BN12" i="16"/>
  <c r="BN131" i="8" s="1"/>
  <c r="BM131" i="8"/>
  <c r="BM14" i="16"/>
  <c r="BO9" i="16"/>
  <c r="BQ10" i="16" s="1"/>
  <c r="BP35" i="8"/>
  <c r="BI32" i="5"/>
  <c r="BI33" i="5"/>
  <c r="BI221" i="5"/>
  <c r="BI165" i="5"/>
  <c r="BI90" i="16"/>
  <c r="BI115" i="5"/>
  <c r="BI146" i="5"/>
  <c r="BI202" i="5"/>
  <c r="BI96" i="5"/>
  <c r="BH152" i="5"/>
  <c r="BH208" i="5"/>
  <c r="BH102" i="5"/>
  <c r="BE28" i="5"/>
  <c r="BE149" i="5"/>
  <c r="BE205" i="5"/>
  <c r="BE37" i="5"/>
  <c r="BE39" i="5" s="1"/>
  <c r="BE99" i="5"/>
  <c r="BE27" i="5"/>
  <c r="BC42" i="5"/>
  <c r="BC93" i="12" s="1"/>
  <c r="BC49" i="5"/>
  <c r="BC109" i="5"/>
  <c r="BF26" i="5"/>
  <c r="BD60" i="8"/>
  <c r="BD212" i="5"/>
  <c r="BD156" i="5"/>
  <c r="BD38" i="5"/>
  <c r="BD106" i="5"/>
  <c r="AG89" i="16"/>
  <c r="AG64" i="16"/>
  <c r="AG73" i="16" s="1"/>
  <c r="BN134" i="8" l="1"/>
  <c r="BN133" i="8"/>
  <c r="BX30" i="8"/>
  <c r="BV20" i="12"/>
  <c r="BW20" i="8"/>
  <c r="BK21" i="5"/>
  <c r="BK146" i="5" s="1"/>
  <c r="BM202" i="5"/>
  <c r="BL23" i="5"/>
  <c r="BJ23" i="5"/>
  <c r="BJ22" i="5"/>
  <c r="BL202" i="5"/>
  <c r="BV39" i="8"/>
  <c r="BR9" i="16"/>
  <c r="BS10" i="16" s="1"/>
  <c r="BR36" i="8"/>
  <c r="BQ24" i="12"/>
  <c r="BU20" i="8"/>
  <c r="BU20" i="12"/>
  <c r="BG28" i="5"/>
  <c r="BG37" i="5"/>
  <c r="BG205" i="5"/>
  <c r="BG149" i="5"/>
  <c r="BK47" i="5"/>
  <c r="BK165" i="5" s="1"/>
  <c r="BP37" i="8"/>
  <c r="BP36" i="8"/>
  <c r="BO12" i="16"/>
  <c r="BO131" i="8" s="1"/>
  <c r="BN15" i="16"/>
  <c r="BN14" i="16"/>
  <c r="BP123" i="8"/>
  <c r="BP129" i="8" s="1"/>
  <c r="BP126" i="8"/>
  <c r="BP9" i="16"/>
  <c r="BU10" i="16" s="1"/>
  <c r="BM133" i="8"/>
  <c r="BK31" i="5"/>
  <c r="BK33" i="5" s="1"/>
  <c r="BJ32" i="5"/>
  <c r="BJ33" i="5"/>
  <c r="BJ221" i="5"/>
  <c r="BJ165" i="5"/>
  <c r="BJ90" i="16"/>
  <c r="BJ115" i="5"/>
  <c r="BJ202" i="5"/>
  <c r="BJ146" i="5"/>
  <c r="BJ96" i="5"/>
  <c r="BI208" i="5"/>
  <c r="BI152" i="5"/>
  <c r="BI102" i="5"/>
  <c r="BE60" i="8"/>
  <c r="BE212" i="5"/>
  <c r="BE156" i="5"/>
  <c r="BE106" i="5"/>
  <c r="BE38" i="5"/>
  <c r="BC50" i="5"/>
  <c r="BC117" i="5"/>
  <c r="BF149" i="5"/>
  <c r="BF28" i="5"/>
  <c r="BF37" i="5"/>
  <c r="BF39" i="5" s="1"/>
  <c r="BC32" i="8"/>
  <c r="BC41" i="8" s="1"/>
  <c r="AV78" i="16"/>
  <c r="AV86" i="8"/>
  <c r="AG71" i="16"/>
  <c r="AG74" i="16"/>
  <c r="AF81" i="16"/>
  <c r="AF113" i="16"/>
  <c r="AF64" i="12"/>
  <c r="BG60" i="8" l="1"/>
  <c r="BG39" i="5"/>
  <c r="BO134" i="8"/>
  <c r="BO133" i="8"/>
  <c r="BV25" i="12"/>
  <c r="BW39" i="8"/>
  <c r="BY30" i="8"/>
  <c r="CA30" i="8" s="1"/>
  <c r="CB30" i="8" s="1"/>
  <c r="CC30" i="8" s="1"/>
  <c r="CD30" i="8" s="1"/>
  <c r="CE30" i="8" s="1"/>
  <c r="BX20" i="8"/>
  <c r="BW20" i="12"/>
  <c r="BK23" i="5"/>
  <c r="BM96" i="5"/>
  <c r="BM23" i="5"/>
  <c r="BM146" i="5"/>
  <c r="BM22" i="5"/>
  <c r="BH37" i="5"/>
  <c r="BH28" i="5"/>
  <c r="BH27" i="5"/>
  <c r="BH205" i="5"/>
  <c r="BH99" i="5"/>
  <c r="BH149" i="5"/>
  <c r="BR12" i="16"/>
  <c r="BR131" i="8" s="1"/>
  <c r="BS9" i="16"/>
  <c r="BV35" i="8"/>
  <c r="BU39" i="8"/>
  <c r="BU25" i="12"/>
  <c r="BS36" i="8"/>
  <c r="BR24" i="12"/>
  <c r="BO15" i="16"/>
  <c r="BG156" i="5"/>
  <c r="BG212" i="5"/>
  <c r="BK90" i="16"/>
  <c r="BL165" i="5"/>
  <c r="BL221" i="5"/>
  <c r="BL90" i="16"/>
  <c r="BP17" i="8"/>
  <c r="BO14" i="16"/>
  <c r="BL152" i="5"/>
  <c r="BL208" i="5"/>
  <c r="BL33" i="5"/>
  <c r="BK152" i="5"/>
  <c r="BJ208" i="5"/>
  <c r="BJ152" i="5"/>
  <c r="BJ102" i="5"/>
  <c r="BC67" i="16"/>
  <c r="BC70" i="16" s="1"/>
  <c r="BC121" i="5"/>
  <c r="BC54" i="5"/>
  <c r="BF60" i="8"/>
  <c r="BF156" i="5"/>
  <c r="BC56" i="5"/>
  <c r="AF89" i="16"/>
  <c r="AK114" i="16"/>
  <c r="AV15" i="8"/>
  <c r="AX82" i="8" s="1"/>
  <c r="AV87" i="8"/>
  <c r="AV90" i="8"/>
  <c r="AV88" i="8" s="1"/>
  <c r="AF63" i="8"/>
  <c r="AF115" i="16"/>
  <c r="AF116" i="16"/>
  <c r="AF64" i="16"/>
  <c r="AF73" i="16" s="1"/>
  <c r="AF114" i="16"/>
  <c r="BR133" i="8" l="1"/>
  <c r="BH156" i="5"/>
  <c r="BH39" i="5"/>
  <c r="BN202" i="5"/>
  <c r="BV123" i="8"/>
  <c r="BV129" i="8" s="1"/>
  <c r="BV126" i="8"/>
  <c r="BV9" i="16"/>
  <c r="BV23" i="12"/>
  <c r="BV127" i="8"/>
  <c r="BW35" i="8"/>
  <c r="BW25" i="12"/>
  <c r="BX39" i="8"/>
  <c r="BZ30" i="8"/>
  <c r="BY20" i="8"/>
  <c r="CA20" i="8" s="1"/>
  <c r="BX20" i="12"/>
  <c r="BN146" i="5"/>
  <c r="BN22" i="5"/>
  <c r="BN96" i="5"/>
  <c r="BN23" i="5"/>
  <c r="BJ27" i="5"/>
  <c r="BH212" i="5"/>
  <c r="BH41" i="5"/>
  <c r="BH60" i="8"/>
  <c r="BH106" i="5"/>
  <c r="BR14" i="16"/>
  <c r="BI205" i="5"/>
  <c r="BI149" i="5"/>
  <c r="BH38" i="5"/>
  <c r="BI37" i="5"/>
  <c r="BI28" i="5"/>
  <c r="BI27" i="5"/>
  <c r="BI99" i="5"/>
  <c r="BT10" i="16"/>
  <c r="BS12" i="16"/>
  <c r="BS131" i="8" s="1"/>
  <c r="BU23" i="12"/>
  <c r="BT9" i="16"/>
  <c r="BV10" i="16" s="1"/>
  <c r="BU35" i="8"/>
  <c r="BT126" i="8"/>
  <c r="BT127" i="8"/>
  <c r="BT123" i="8"/>
  <c r="BT129" i="8" s="1"/>
  <c r="BV37" i="8"/>
  <c r="BV36" i="8"/>
  <c r="BS24" i="12"/>
  <c r="BT24" i="12" s="1"/>
  <c r="BM221" i="5"/>
  <c r="BM165" i="5"/>
  <c r="BM90" i="16"/>
  <c r="BM115" i="5"/>
  <c r="BM102" i="5"/>
  <c r="BM33" i="5"/>
  <c r="BM32" i="5"/>
  <c r="BM208" i="5"/>
  <c r="BM152" i="5"/>
  <c r="BC85" i="16"/>
  <c r="BC59" i="5"/>
  <c r="BC63" i="16"/>
  <c r="BC73" i="16" s="1"/>
  <c r="BC124" i="5"/>
  <c r="BA82" i="8"/>
  <c r="AW82" i="8"/>
  <c r="AW87" i="8" s="1"/>
  <c r="AF74" i="16"/>
  <c r="AF71" i="16"/>
  <c r="AF65" i="12"/>
  <c r="AF68" i="12" s="1"/>
  <c r="AF94" i="8"/>
  <c r="AF95" i="8" s="1"/>
  <c r="AF83" i="8"/>
  <c r="AF85" i="8" s="1"/>
  <c r="BS133" i="8" l="1"/>
  <c r="BS134" i="8"/>
  <c r="CB20" i="8"/>
  <c r="CA20" i="12"/>
  <c r="BH159" i="5"/>
  <c r="BH90" i="12"/>
  <c r="BI106" i="5"/>
  <c r="BI39" i="5"/>
  <c r="BW123" i="8"/>
  <c r="BW129" i="8" s="1"/>
  <c r="BW127" i="8"/>
  <c r="BW126" i="8"/>
  <c r="BX35" i="8"/>
  <c r="BW9" i="16"/>
  <c r="BW23" i="12"/>
  <c r="BW36" i="8"/>
  <c r="BV24" i="12"/>
  <c r="BW10" i="16"/>
  <c r="BV12" i="16"/>
  <c r="BW37" i="8"/>
  <c r="BY39" i="8"/>
  <c r="CA39" i="8" s="1"/>
  <c r="BX25" i="12"/>
  <c r="BZ20" i="8"/>
  <c r="BY20" i="12"/>
  <c r="BZ20" i="12" s="1"/>
  <c r="BO146" i="5"/>
  <c r="BO202" i="5"/>
  <c r="BP21" i="5"/>
  <c r="BP23" i="5" s="1"/>
  <c r="BO23" i="5"/>
  <c r="BO22" i="5"/>
  <c r="BO96" i="5"/>
  <c r="BJ205" i="5"/>
  <c r="BJ37" i="5"/>
  <c r="BJ149" i="5"/>
  <c r="BJ99" i="5"/>
  <c r="BL149" i="5"/>
  <c r="BK26" i="5"/>
  <c r="BK28" i="5" s="1"/>
  <c r="BJ28" i="5"/>
  <c r="BI212" i="5"/>
  <c r="BH112" i="8"/>
  <c r="BH78" i="8"/>
  <c r="BH109" i="5"/>
  <c r="BH49" i="5"/>
  <c r="BH42" i="5"/>
  <c r="BH93" i="12" s="1"/>
  <c r="BI156" i="5"/>
  <c r="BT12" i="16"/>
  <c r="BI60" i="8"/>
  <c r="BI38" i="5"/>
  <c r="BS15" i="16"/>
  <c r="BS14" i="16"/>
  <c r="BU9" i="16"/>
  <c r="BZ10" i="16" s="1"/>
  <c r="BU126" i="8"/>
  <c r="BU123" i="8"/>
  <c r="BU129" i="8" s="1"/>
  <c r="BU36" i="8"/>
  <c r="BU24" i="12"/>
  <c r="BU37" i="8"/>
  <c r="BV17" i="8"/>
  <c r="BQ202" i="5"/>
  <c r="BQ146" i="5"/>
  <c r="BC71" i="16"/>
  <c r="BC75" i="16"/>
  <c r="BN221" i="5"/>
  <c r="BN165" i="5"/>
  <c r="BN90" i="16"/>
  <c r="BN115" i="5"/>
  <c r="BN208" i="5"/>
  <c r="BN33" i="5"/>
  <c r="BN102" i="5"/>
  <c r="BN152" i="5"/>
  <c r="BN32" i="5"/>
  <c r="BH32" i="8"/>
  <c r="BH41" i="8" s="1"/>
  <c r="AX23" i="6"/>
  <c r="BC77" i="16"/>
  <c r="AK69" i="12"/>
  <c r="AF67" i="5"/>
  <c r="AF65" i="8"/>
  <c r="AF71" i="12"/>
  <c r="AF68" i="5" s="1"/>
  <c r="AF70" i="12"/>
  <c r="AH70" i="12"/>
  <c r="AF69" i="12"/>
  <c r="AF96" i="8"/>
  <c r="AF98" i="8" s="1"/>
  <c r="AX24" i="6"/>
  <c r="CB39" i="8" l="1"/>
  <c r="CA25" i="12"/>
  <c r="CC20" i="8"/>
  <c r="CB20" i="12"/>
  <c r="BV131" i="8"/>
  <c r="BJ106" i="5"/>
  <c r="BJ39" i="5"/>
  <c r="L35" i="7"/>
  <c r="O35" i="7"/>
  <c r="I35" i="7"/>
  <c r="J35" i="7"/>
  <c r="P35" i="7"/>
  <c r="M35" i="7"/>
  <c r="J34" i="7"/>
  <c r="O34" i="7"/>
  <c r="P34" i="7"/>
  <c r="M34" i="7"/>
  <c r="L34" i="7"/>
  <c r="BW12" i="16"/>
  <c r="BX10" i="16"/>
  <c r="BZ39" i="8"/>
  <c r="BY25" i="12"/>
  <c r="BZ25" i="12" s="1"/>
  <c r="BX37" i="8"/>
  <c r="BX9" i="16"/>
  <c r="BY10" i="16" s="1"/>
  <c r="BX123" i="8"/>
  <c r="BX129" i="8" s="1"/>
  <c r="BY35" i="8"/>
  <c r="CA35" i="8" s="1"/>
  <c r="BX127" i="8"/>
  <c r="BX126" i="8"/>
  <c r="BX23" i="12"/>
  <c r="BX36" i="8"/>
  <c r="BW24" i="12"/>
  <c r="BW17" i="8"/>
  <c r="BV17" i="12"/>
  <c r="BT15" i="16"/>
  <c r="BV15" i="16"/>
  <c r="BK149" i="5"/>
  <c r="BK37" i="5"/>
  <c r="BJ60" i="8"/>
  <c r="BJ38" i="5"/>
  <c r="BJ212" i="5"/>
  <c r="BJ156" i="5"/>
  <c r="BP146" i="5"/>
  <c r="BL205" i="5"/>
  <c r="BL37" i="5"/>
  <c r="BM99" i="5"/>
  <c r="BL28" i="5"/>
  <c r="BH117" i="5"/>
  <c r="BH50" i="5"/>
  <c r="BH167" i="5"/>
  <c r="BT14" i="16"/>
  <c r="BT131" i="8"/>
  <c r="BU17" i="8"/>
  <c r="BU17" i="12"/>
  <c r="BP47" i="5"/>
  <c r="BP90" i="16" s="1"/>
  <c r="BP31" i="5"/>
  <c r="BP152" i="5" s="1"/>
  <c r="BR146" i="5"/>
  <c r="BR202" i="5"/>
  <c r="BR96" i="5"/>
  <c r="BO165" i="5"/>
  <c r="BO221" i="5"/>
  <c r="BO90" i="16"/>
  <c r="BO115" i="5"/>
  <c r="BO32" i="5"/>
  <c r="BO208" i="5"/>
  <c r="BO33" i="5"/>
  <c r="BO102" i="5"/>
  <c r="BO152" i="5"/>
  <c r="BH67" i="16"/>
  <c r="BH70" i="16" s="1"/>
  <c r="BH54" i="5"/>
  <c r="BH121" i="5"/>
  <c r="BH56" i="5"/>
  <c r="BH174" i="5" s="1"/>
  <c r="BH171" i="5"/>
  <c r="BC74" i="16"/>
  <c r="AF97" i="8"/>
  <c r="AF86" i="8"/>
  <c r="AF88" i="8" s="1"/>
  <c r="AF87" i="16"/>
  <c r="AF94" i="16" s="1"/>
  <c r="CD20" i="8" l="1"/>
  <c r="CC20" i="12"/>
  <c r="CA126" i="8"/>
  <c r="CA127" i="8"/>
  <c r="CA123" i="8"/>
  <c r="CA129" i="8" s="1"/>
  <c r="CB35" i="8"/>
  <c r="CA9" i="16"/>
  <c r="CA23" i="12"/>
  <c r="CC39" i="8"/>
  <c r="CB25" i="12"/>
  <c r="BK156" i="5"/>
  <c r="BK39" i="5"/>
  <c r="BL60" i="8"/>
  <c r="BL39" i="5"/>
  <c r="BY36" i="8"/>
  <c r="CA36" i="8" s="1"/>
  <c r="BX24" i="12"/>
  <c r="BY37" i="8"/>
  <c r="CA37" i="8" s="1"/>
  <c r="CB37" i="8" s="1"/>
  <c r="CC37" i="8" s="1"/>
  <c r="CD37" i="8" s="1"/>
  <c r="CE37" i="8" s="1"/>
  <c r="BY123" i="8"/>
  <c r="BY129" i="8" s="1"/>
  <c r="BZ35" i="8"/>
  <c r="BY23" i="12"/>
  <c r="BZ23" i="12" s="1"/>
  <c r="BY9" i="16"/>
  <c r="BY127" i="8"/>
  <c r="BY126" i="8"/>
  <c r="BX12" i="16"/>
  <c r="BW131" i="8"/>
  <c r="BW15" i="16"/>
  <c r="BW14" i="16"/>
  <c r="BX17" i="8"/>
  <c r="BW17" i="12"/>
  <c r="BT134" i="8"/>
  <c r="BV134" i="8"/>
  <c r="BK60" i="8"/>
  <c r="BM205" i="5"/>
  <c r="BM27" i="5"/>
  <c r="BM149" i="5"/>
  <c r="BL212" i="5"/>
  <c r="BL156" i="5"/>
  <c r="BM37" i="5"/>
  <c r="BM28" i="5"/>
  <c r="BP33" i="5"/>
  <c r="BP165" i="5"/>
  <c r="BT133" i="8"/>
  <c r="BQ165" i="5"/>
  <c r="BQ221" i="5"/>
  <c r="BW165" i="5"/>
  <c r="BQ152" i="5"/>
  <c r="BQ208" i="5"/>
  <c r="BS202" i="5"/>
  <c r="G18" i="7"/>
  <c r="P18" i="7" s="1"/>
  <c r="BS146" i="5"/>
  <c r="BS96" i="5"/>
  <c r="BH63" i="16"/>
  <c r="BH73" i="16" s="1"/>
  <c r="BH71" i="16" s="1"/>
  <c r="BH59" i="5"/>
  <c r="P20" i="25" s="1"/>
  <c r="R20" i="25" s="1"/>
  <c r="S20" i="25" s="1"/>
  <c r="BH124" i="5"/>
  <c r="BH85" i="16"/>
  <c r="AF87" i="8"/>
  <c r="AF97" i="16"/>
  <c r="AF98" i="16"/>
  <c r="AF66" i="5" s="1"/>
  <c r="AF96" i="16"/>
  <c r="AF65" i="5"/>
  <c r="AF81" i="12"/>
  <c r="AH97" i="16"/>
  <c r="AK96" i="16"/>
  <c r="I18" i="7" l="1"/>
  <c r="O18" i="7"/>
  <c r="G19" i="7"/>
  <c r="L18" i="7"/>
  <c r="M18" i="7"/>
  <c r="J18" i="7"/>
  <c r="BY12" i="16"/>
  <c r="BY131" i="8" s="1"/>
  <c r="CA10" i="16"/>
  <c r="CA12" i="16" s="1"/>
  <c r="CD39" i="8"/>
  <c r="CC25" i="12"/>
  <c r="CD20" i="12"/>
  <c r="CE20" i="12" s="1"/>
  <c r="CE20" i="8"/>
  <c r="CB123" i="8"/>
  <c r="CB129" i="8" s="1"/>
  <c r="CC35" i="8"/>
  <c r="CB126" i="8"/>
  <c r="CB127" i="8"/>
  <c r="CB9" i="16"/>
  <c r="CB23" i="12"/>
  <c r="CB36" i="8"/>
  <c r="CA24" i="12"/>
  <c r="CB10" i="16"/>
  <c r="BM60" i="8"/>
  <c r="BM76" i="8" s="1"/>
  <c r="BR79" i="8" s="1"/>
  <c r="BM39" i="5"/>
  <c r="BN80" i="8"/>
  <c r="BN27" i="5"/>
  <c r="BX15" i="16"/>
  <c r="BX131" i="8"/>
  <c r="BX14" i="16"/>
  <c r="BW134" i="8"/>
  <c r="BW133" i="8"/>
  <c r="BZ37" i="8"/>
  <c r="BZ9" i="16"/>
  <c r="BZ126" i="8"/>
  <c r="BZ123" i="8"/>
  <c r="BZ129" i="8" s="1"/>
  <c r="BZ36" i="8"/>
  <c r="BY24" i="12"/>
  <c r="BZ24" i="12" s="1"/>
  <c r="BY17" i="8"/>
  <c r="CA17" i="8" s="1"/>
  <c r="BX17" i="12"/>
  <c r="BU21" i="5"/>
  <c r="BU146" i="5" s="1"/>
  <c r="BV21" i="5"/>
  <c r="BM212" i="5"/>
  <c r="BN99" i="5"/>
  <c r="BN149" i="5"/>
  <c r="BN37" i="5"/>
  <c r="BS39" i="5" s="1"/>
  <c r="BN205" i="5"/>
  <c r="BN28" i="5"/>
  <c r="BM106" i="5"/>
  <c r="BM38" i="5"/>
  <c r="BM156" i="5"/>
  <c r="BM41" i="5"/>
  <c r="BM110" i="8"/>
  <c r="BR113" i="8" s="1"/>
  <c r="BR221" i="5"/>
  <c r="BX165" i="5"/>
  <c r="BR165" i="5"/>
  <c r="BR90" i="16"/>
  <c r="BR115" i="5"/>
  <c r="BR208" i="5"/>
  <c r="BR152" i="5"/>
  <c r="BR102" i="5"/>
  <c r="BT146" i="5"/>
  <c r="BT23" i="5"/>
  <c r="BT202" i="5"/>
  <c r="BT96" i="5"/>
  <c r="BT22" i="5"/>
  <c r="BH177" i="5"/>
  <c r="BC23" i="6"/>
  <c r="AK82" i="12"/>
  <c r="AF83" i="12"/>
  <c r="AH83" i="12"/>
  <c r="AF82" i="12"/>
  <c r="AG86" i="8"/>
  <c r="AG87" i="8" s="1"/>
  <c r="BC24" i="6"/>
  <c r="BM79" i="8" l="1"/>
  <c r="BY14" i="16"/>
  <c r="BY15" i="16"/>
  <c r="CA15" i="16"/>
  <c r="BM78" i="8"/>
  <c r="CB17" i="8"/>
  <c r="CA17" i="12"/>
  <c r="BZ12" i="16"/>
  <c r="BZ131" i="8" s="1"/>
  <c r="CE10" i="16"/>
  <c r="CC36" i="8"/>
  <c r="CB24" i="12"/>
  <c r="CC10" i="16"/>
  <c r="CB12" i="16"/>
  <c r="CD25" i="12"/>
  <c r="CE25" i="12" s="1"/>
  <c r="CE39" i="8"/>
  <c r="CA131" i="8"/>
  <c r="CA133" i="8" s="1"/>
  <c r="CA14" i="16"/>
  <c r="CD35" i="8"/>
  <c r="CC126" i="8"/>
  <c r="CC127" i="8"/>
  <c r="CC123" i="8"/>
  <c r="CC129" i="8" s="1"/>
  <c r="CC9" i="16"/>
  <c r="CC23" i="12"/>
  <c r="BM42" i="5"/>
  <c r="BM93" i="12" s="1"/>
  <c r="BM90" i="12"/>
  <c r="BN60" i="8"/>
  <c r="BN112" i="8" s="1"/>
  <c r="BN39" i="5"/>
  <c r="BM112" i="8"/>
  <c r="BN114" i="8"/>
  <c r="BU23" i="5"/>
  <c r="BY134" i="8"/>
  <c r="BY133" i="8"/>
  <c r="BX134" i="8"/>
  <c r="BX133" i="8"/>
  <c r="BZ17" i="8"/>
  <c r="BY17" i="12"/>
  <c r="BZ17" i="12" s="1"/>
  <c r="BV202" i="5"/>
  <c r="BV22" i="5"/>
  <c r="BV146" i="5"/>
  <c r="BW21" i="5"/>
  <c r="BV23" i="5"/>
  <c r="BV96" i="5"/>
  <c r="BN106" i="5"/>
  <c r="BM109" i="5"/>
  <c r="BM49" i="5"/>
  <c r="BM159" i="5"/>
  <c r="BO37" i="5"/>
  <c r="BO149" i="5"/>
  <c r="BO27" i="5"/>
  <c r="BO99" i="5"/>
  <c r="BP26" i="5"/>
  <c r="BP149" i="5" s="1"/>
  <c r="BM32" i="8"/>
  <c r="BM41" i="8" s="1"/>
  <c r="BQ149" i="5"/>
  <c r="BN38" i="5"/>
  <c r="BN41" i="5"/>
  <c r="BN212" i="5"/>
  <c r="BQ205" i="5"/>
  <c r="BQ37" i="5"/>
  <c r="BO28" i="5"/>
  <c r="BN156" i="5"/>
  <c r="BO205" i="5"/>
  <c r="BS221" i="5"/>
  <c r="BS165" i="5"/>
  <c r="BS90" i="16"/>
  <c r="BS115" i="5"/>
  <c r="BS152" i="5"/>
  <c r="BS208" i="5"/>
  <c r="G22" i="7"/>
  <c r="L22" i="7" s="1"/>
  <c r="BS102" i="5"/>
  <c r="BR149" i="5"/>
  <c r="BR205" i="5"/>
  <c r="BR99" i="5"/>
  <c r="BR37" i="5"/>
  <c r="BM113" i="8"/>
  <c r="BN32" i="8"/>
  <c r="BN41" i="8" s="1"/>
  <c r="BH74" i="16"/>
  <c r="AG88" i="8"/>
  <c r="AG96" i="8"/>
  <c r="AG97" i="8" s="1"/>
  <c r="AG87" i="16"/>
  <c r="AG94" i="16" s="1"/>
  <c r="AG65" i="5" s="1"/>
  <c r="I22" i="7" l="1"/>
  <c r="O22" i="7"/>
  <c r="J22" i="7"/>
  <c r="G23" i="7"/>
  <c r="P22" i="7"/>
  <c r="M22" i="7"/>
  <c r="BR39" i="5"/>
  <c r="BR60" i="8"/>
  <c r="CA134" i="8"/>
  <c r="BN78" i="8"/>
  <c r="CD126" i="8"/>
  <c r="CD127" i="8"/>
  <c r="CD123" i="8"/>
  <c r="CD129" i="8" s="1"/>
  <c r="CE35" i="8"/>
  <c r="CD23" i="12"/>
  <c r="CE23" i="12" s="1"/>
  <c r="CD9" i="16"/>
  <c r="CD10" i="16"/>
  <c r="CC12" i="16"/>
  <c r="CC24" i="12"/>
  <c r="CD36" i="8"/>
  <c r="CB15" i="16"/>
  <c r="CB131" i="8"/>
  <c r="CB14" i="16"/>
  <c r="CB17" i="12"/>
  <c r="CC17" i="8"/>
  <c r="BN109" i="5"/>
  <c r="BN90" i="12"/>
  <c r="BO60" i="8"/>
  <c r="BO112" i="8" s="1"/>
  <c r="BO39" i="5"/>
  <c r="BQ156" i="5"/>
  <c r="BQ39" i="5"/>
  <c r="BQ60" i="8"/>
  <c r="BU47" i="5"/>
  <c r="BU77" i="5" s="1"/>
  <c r="BV221" i="5"/>
  <c r="BY165" i="5"/>
  <c r="BU31" i="5"/>
  <c r="BU152" i="5" s="1"/>
  <c r="BV31" i="5"/>
  <c r="BW96" i="5"/>
  <c r="BW22" i="5"/>
  <c r="BW202" i="5"/>
  <c r="BW23" i="5"/>
  <c r="BW146" i="5"/>
  <c r="BX21" i="5"/>
  <c r="BN49" i="5"/>
  <c r="BO212" i="5"/>
  <c r="BO41" i="5"/>
  <c r="BO38" i="5"/>
  <c r="BM50" i="5"/>
  <c r="BM167" i="5"/>
  <c r="BM117" i="5"/>
  <c r="BN215" i="5"/>
  <c r="BN42" i="5"/>
  <c r="BN93" i="12" s="1"/>
  <c r="BO106" i="5"/>
  <c r="BO156" i="5"/>
  <c r="BP28" i="5"/>
  <c r="BP37" i="5"/>
  <c r="BU76" i="5" s="1"/>
  <c r="BQ212" i="5"/>
  <c r="BT165" i="5"/>
  <c r="BT221" i="5"/>
  <c r="BT90" i="16"/>
  <c r="BT115" i="5"/>
  <c r="BT152" i="5"/>
  <c r="BT33" i="5"/>
  <c r="BT208" i="5"/>
  <c r="BT32" i="5"/>
  <c r="BT102" i="5"/>
  <c r="BS205" i="5"/>
  <c r="BS149" i="5"/>
  <c r="BS99" i="5"/>
  <c r="BP28" i="8"/>
  <c r="BR156" i="5"/>
  <c r="BR41" i="5"/>
  <c r="BR212" i="5"/>
  <c r="BR38" i="5"/>
  <c r="BR106" i="5"/>
  <c r="BM67" i="16"/>
  <c r="BM70" i="16" s="1"/>
  <c r="BM85" i="16" s="1"/>
  <c r="BP10" i="8"/>
  <c r="BP76" i="8" s="1"/>
  <c r="BM121" i="5"/>
  <c r="BM54" i="5"/>
  <c r="BM171" i="5"/>
  <c r="BM56" i="5"/>
  <c r="AG81" i="12"/>
  <c r="AG96" i="16"/>
  <c r="AL96" i="16"/>
  <c r="AG98" i="16"/>
  <c r="AG66" i="5" s="1"/>
  <c r="AG98" i="8"/>
  <c r="BV26" i="5" l="1"/>
  <c r="BV99" i="5" s="1"/>
  <c r="G20" i="7"/>
  <c r="L20" i="7" s="1"/>
  <c r="J20" i="7"/>
  <c r="I20" i="7"/>
  <c r="BR78" i="8"/>
  <c r="BR112" i="8"/>
  <c r="CD12" i="16"/>
  <c r="CD15" i="16" s="1"/>
  <c r="BR90" i="12"/>
  <c r="CB134" i="8"/>
  <c r="CB133" i="8"/>
  <c r="CE126" i="8"/>
  <c r="CE123" i="8"/>
  <c r="CE129" i="8" s="1"/>
  <c r="CE9" i="16"/>
  <c r="CE12" i="16" s="1"/>
  <c r="CE36" i="8"/>
  <c r="CD24" i="12"/>
  <c r="CE24" i="12" s="1"/>
  <c r="BO78" i="8"/>
  <c r="CC17" i="12"/>
  <c r="CD17" i="8"/>
  <c r="CC131" i="8"/>
  <c r="CC15" i="16"/>
  <c r="CC14" i="16"/>
  <c r="BO49" i="5"/>
  <c r="BO50" i="5" s="1"/>
  <c r="BO90" i="12"/>
  <c r="BZ165" i="5"/>
  <c r="BP60" i="8"/>
  <c r="BP39" i="5"/>
  <c r="BQ78" i="8"/>
  <c r="BQ112" i="8"/>
  <c r="BU165" i="5"/>
  <c r="BU90" i="16"/>
  <c r="BU33" i="5"/>
  <c r="BV32" i="5"/>
  <c r="BV208" i="5"/>
  <c r="BV152" i="5"/>
  <c r="BW31" i="5"/>
  <c r="BV33" i="5"/>
  <c r="BV102" i="5"/>
  <c r="BV27" i="5"/>
  <c r="BW26" i="5"/>
  <c r="BV205" i="5"/>
  <c r="BX23" i="5"/>
  <c r="BY21" i="5"/>
  <c r="CA21" i="5" s="1"/>
  <c r="BX96" i="5"/>
  <c r="BX22" i="5"/>
  <c r="BX202" i="5"/>
  <c r="BX146" i="5"/>
  <c r="BN223" i="5"/>
  <c r="BO42" i="5"/>
  <c r="BO93" i="12" s="1"/>
  <c r="BO215" i="5"/>
  <c r="BO109" i="5"/>
  <c r="BN50" i="5"/>
  <c r="BN117" i="5"/>
  <c r="BP156" i="5"/>
  <c r="BO32" i="8"/>
  <c r="BO41" i="8" s="1"/>
  <c r="BS156" i="5"/>
  <c r="BS106" i="5"/>
  <c r="BS212" i="5"/>
  <c r="BT28" i="5"/>
  <c r="BT149" i="5"/>
  <c r="BT205" i="5"/>
  <c r="BT27" i="5"/>
  <c r="BT99" i="5"/>
  <c r="BT37" i="5"/>
  <c r="BT39" i="5" s="1"/>
  <c r="BR49" i="5"/>
  <c r="BR42" i="5"/>
  <c r="BR93" i="12" s="1"/>
  <c r="BR109" i="5"/>
  <c r="BR159" i="5"/>
  <c r="BU26" i="5"/>
  <c r="BM63" i="16"/>
  <c r="BM73" i="16" s="1"/>
  <c r="BM71" i="16" s="1"/>
  <c r="BN67" i="16"/>
  <c r="BN70" i="16" s="1"/>
  <c r="BN85" i="16" s="1"/>
  <c r="BP110" i="8"/>
  <c r="BP32" i="8"/>
  <c r="BP41" i="8" s="1"/>
  <c r="BN121" i="5"/>
  <c r="BN54" i="5"/>
  <c r="BN227" i="5"/>
  <c r="BM59" i="5"/>
  <c r="BM124" i="5"/>
  <c r="BM174" i="5"/>
  <c r="BN56" i="5"/>
  <c r="AL82" i="12"/>
  <c r="AG82" i="12"/>
  <c r="AF52" i="12"/>
  <c r="AF50" i="12"/>
  <c r="AF49" i="12"/>
  <c r="AE54" i="12"/>
  <c r="M20" i="7" l="1"/>
  <c r="BV37" i="5"/>
  <c r="BV39" i="5" s="1"/>
  <c r="BV28" i="5"/>
  <c r="BV149" i="5"/>
  <c r="G25" i="7"/>
  <c r="P25" i="7" s="1"/>
  <c r="P20" i="7"/>
  <c r="O20" i="7"/>
  <c r="G21" i="7"/>
  <c r="CD14" i="16"/>
  <c r="CD131" i="8"/>
  <c r="CD133" i="8" s="1"/>
  <c r="P24" i="25"/>
  <c r="CC134" i="8"/>
  <c r="CC133" i="8"/>
  <c r="CD17" i="12"/>
  <c r="CE17" i="12" s="1"/>
  <c r="CE17" i="8"/>
  <c r="CE131" i="8"/>
  <c r="CE133" i="8" s="1"/>
  <c r="CE14" i="16"/>
  <c r="CA96" i="5"/>
  <c r="CA23" i="5"/>
  <c r="CA202" i="5"/>
  <c r="CA146" i="5"/>
  <c r="CA22" i="5"/>
  <c r="CB21" i="5"/>
  <c r="BO117" i="5"/>
  <c r="BO223" i="5"/>
  <c r="BW32" i="5"/>
  <c r="BW208" i="5"/>
  <c r="BW33" i="5"/>
  <c r="BX31" i="5"/>
  <c r="BW102" i="5"/>
  <c r="BW152" i="5"/>
  <c r="BV212" i="5"/>
  <c r="BV156" i="5"/>
  <c r="BV38" i="5"/>
  <c r="BV41" i="5"/>
  <c r="BV90" i="12" s="1"/>
  <c r="BV60" i="8"/>
  <c r="BW149" i="5"/>
  <c r="BW205" i="5"/>
  <c r="BW28" i="5"/>
  <c r="BW99" i="5"/>
  <c r="BX26" i="5"/>
  <c r="BW27" i="5"/>
  <c r="BW37" i="5"/>
  <c r="BW39" i="5" s="1"/>
  <c r="BY146" i="5"/>
  <c r="BY22" i="5"/>
  <c r="BY96" i="5"/>
  <c r="BY23" i="5"/>
  <c r="BY202" i="5"/>
  <c r="BZ21" i="5"/>
  <c r="BM77" i="16"/>
  <c r="BM74" i="16" s="1"/>
  <c r="BS215" i="5"/>
  <c r="BS159" i="5"/>
  <c r="BS109" i="5"/>
  <c r="BS49" i="5"/>
  <c r="BR167" i="5"/>
  <c r="BR117" i="5"/>
  <c r="BR50" i="5"/>
  <c r="BR56" i="5"/>
  <c r="BU149" i="5"/>
  <c r="BU28" i="5"/>
  <c r="BU37" i="5"/>
  <c r="BU39" i="5" s="1"/>
  <c r="BT212" i="5"/>
  <c r="BT38" i="5"/>
  <c r="BT106" i="5"/>
  <c r="BT156" i="5"/>
  <c r="BT41" i="5"/>
  <c r="BT90" i="12" s="1"/>
  <c r="BT60" i="8"/>
  <c r="BR32" i="8"/>
  <c r="BR41" i="8" s="1"/>
  <c r="BN63" i="16"/>
  <c r="BN73" i="16" s="1"/>
  <c r="BN71" i="16" s="1"/>
  <c r="BO67" i="16"/>
  <c r="BO70" i="16" s="1"/>
  <c r="BO85" i="16" s="1"/>
  <c r="BH23" i="6"/>
  <c r="BM177" i="5"/>
  <c r="BN230" i="5"/>
  <c r="BN124" i="5"/>
  <c r="BN59" i="5"/>
  <c r="BO56" i="5"/>
  <c r="BO54" i="5"/>
  <c r="BO121" i="5"/>
  <c r="BO227" i="5"/>
  <c r="AE58" i="12"/>
  <c r="AE61" i="12" s="1"/>
  <c r="AF60" i="12" s="1"/>
  <c r="BA15" i="8"/>
  <c r="AF54" i="12"/>
  <c r="BH24" i="6"/>
  <c r="BV106" i="5" l="1"/>
  <c r="I25" i="7"/>
  <c r="G28" i="7"/>
  <c r="G37" i="7" s="1"/>
  <c r="M25" i="7"/>
  <c r="G26" i="7"/>
  <c r="O25" i="7"/>
  <c r="L25" i="7"/>
  <c r="J25" i="7"/>
  <c r="P25" i="25"/>
  <c r="R25" i="25" s="1"/>
  <c r="R24" i="25"/>
  <c r="CD134" i="8"/>
  <c r="CB96" i="5"/>
  <c r="CB22" i="5"/>
  <c r="CC21" i="5"/>
  <c r="CB146" i="5"/>
  <c r="CB202" i="5"/>
  <c r="CB23" i="5"/>
  <c r="BV215" i="5"/>
  <c r="BX208" i="5"/>
  <c r="BX33" i="5"/>
  <c r="BX152" i="5"/>
  <c r="BX32" i="5"/>
  <c r="BY31" i="5"/>
  <c r="BX102" i="5"/>
  <c r="BV28" i="8"/>
  <c r="BV10" i="8"/>
  <c r="BW212" i="5"/>
  <c r="BW106" i="5"/>
  <c r="BW38" i="5"/>
  <c r="BW156" i="5"/>
  <c r="BW60" i="8"/>
  <c r="BW41" i="5"/>
  <c r="BW90" i="12" s="1"/>
  <c r="BV49" i="5"/>
  <c r="BV53" i="5" s="1"/>
  <c r="BV42" i="5"/>
  <c r="BV93" i="12" s="1"/>
  <c r="BV109" i="5"/>
  <c r="BX27" i="5"/>
  <c r="BX149" i="5"/>
  <c r="BX205" i="5"/>
  <c r="BX28" i="5"/>
  <c r="BX99" i="5"/>
  <c r="BY26" i="5"/>
  <c r="CA26" i="5" s="1"/>
  <c r="BX37" i="5"/>
  <c r="BX39" i="5" s="1"/>
  <c r="BZ96" i="5"/>
  <c r="BZ146" i="5"/>
  <c r="BZ22" i="5"/>
  <c r="BZ23" i="5"/>
  <c r="BS32" i="8"/>
  <c r="BS41" i="8" s="1"/>
  <c r="BS167" i="5"/>
  <c r="BS117" i="5"/>
  <c r="BS50" i="5"/>
  <c r="BS223" i="5"/>
  <c r="BU60" i="8"/>
  <c r="BU156" i="5"/>
  <c r="BN77" i="16"/>
  <c r="BT109" i="5"/>
  <c r="BT42" i="5"/>
  <c r="BT93" i="12" s="1"/>
  <c r="BT49" i="5"/>
  <c r="BT215" i="5"/>
  <c r="BT159" i="5"/>
  <c r="BR63" i="16"/>
  <c r="BR124" i="5"/>
  <c r="BR59" i="5"/>
  <c r="BR174" i="5"/>
  <c r="BR121" i="5"/>
  <c r="BR54" i="5"/>
  <c r="BR171" i="5"/>
  <c r="BR67" i="16"/>
  <c r="BO63" i="16"/>
  <c r="BO73" i="16" s="1"/>
  <c r="BF82" i="8"/>
  <c r="BC82" i="8"/>
  <c r="BO124" i="5"/>
  <c r="BO230" i="5"/>
  <c r="BO59" i="5"/>
  <c r="D47" i="7" s="1"/>
  <c r="BN233" i="5"/>
  <c r="BI23" i="6"/>
  <c r="AH60" i="12"/>
  <c r="AH61" i="12" s="1"/>
  <c r="AI60" i="12" s="1"/>
  <c r="AI61" i="12" s="1"/>
  <c r="AJ60" i="12" s="1"/>
  <c r="AJ61" i="12" s="1"/>
  <c r="AF58" i="12"/>
  <c r="BI24" i="6"/>
  <c r="G29" i="7" l="1"/>
  <c r="G38" i="7"/>
  <c r="S25" i="25"/>
  <c r="S24" i="25"/>
  <c r="P28" i="25"/>
  <c r="P26" i="25"/>
  <c r="BZ31" i="5"/>
  <c r="BZ102" i="5" s="1"/>
  <c r="CA31" i="5"/>
  <c r="CA149" i="5"/>
  <c r="CA27" i="5"/>
  <c r="CB26" i="5"/>
  <c r="CA99" i="5"/>
  <c r="CA28" i="5"/>
  <c r="CA205" i="5"/>
  <c r="CC23" i="5"/>
  <c r="CC202" i="5"/>
  <c r="CC22" i="5"/>
  <c r="CD21" i="5"/>
  <c r="CE21" i="5" s="1"/>
  <c r="CC146" i="5"/>
  <c r="CC96" i="5"/>
  <c r="BO77" i="16"/>
  <c r="BO75" i="16"/>
  <c r="BO71" i="16"/>
  <c r="BN74" i="16"/>
  <c r="BN87" i="16"/>
  <c r="BV22" i="12"/>
  <c r="BV19" i="12"/>
  <c r="BY33" i="5"/>
  <c r="BY152" i="5"/>
  <c r="BY32" i="5"/>
  <c r="BY208" i="5"/>
  <c r="BY102" i="5"/>
  <c r="BW28" i="8"/>
  <c r="BW10" i="8"/>
  <c r="BW19" i="12" s="1"/>
  <c r="BW42" i="5"/>
  <c r="BW93" i="12" s="1"/>
  <c r="BW159" i="5"/>
  <c r="BW49" i="5"/>
  <c r="BW53" i="5" s="1"/>
  <c r="BW215" i="5"/>
  <c r="BW109" i="5"/>
  <c r="BX156" i="5"/>
  <c r="BX60" i="8"/>
  <c r="BX212" i="5"/>
  <c r="BX106" i="5"/>
  <c r="BX38" i="5"/>
  <c r="BX41" i="5"/>
  <c r="BX90" i="12" s="1"/>
  <c r="BV76" i="8"/>
  <c r="BZ26" i="5"/>
  <c r="BY149" i="5"/>
  <c r="BY28" i="5"/>
  <c r="BY27" i="5"/>
  <c r="BY205" i="5"/>
  <c r="BY99" i="5"/>
  <c r="BY37" i="5"/>
  <c r="BV117" i="5"/>
  <c r="BV50" i="5"/>
  <c r="BV110" i="8"/>
  <c r="BV32" i="8"/>
  <c r="BV41" i="8" s="1"/>
  <c r="G41" i="7"/>
  <c r="G44" i="7" s="1"/>
  <c r="BV223" i="5"/>
  <c r="BS171" i="5"/>
  <c r="BS227" i="5"/>
  <c r="BS67" i="16"/>
  <c r="BS121" i="5"/>
  <c r="BS54" i="5"/>
  <c r="BM23" i="6"/>
  <c r="BR177" i="5"/>
  <c r="BT76" i="8"/>
  <c r="BT78" i="8" s="1"/>
  <c r="BU10" i="8"/>
  <c r="BU76" i="8" s="1"/>
  <c r="BU79" i="8" s="1"/>
  <c r="BT110" i="8"/>
  <c r="BT112" i="8" s="1"/>
  <c r="BT32" i="8"/>
  <c r="BT41" i="8" s="1"/>
  <c r="BU28" i="8"/>
  <c r="BT117" i="5"/>
  <c r="BT50" i="5"/>
  <c r="BT167" i="5"/>
  <c r="BT223" i="5"/>
  <c r="BS56" i="5"/>
  <c r="BJ23" i="6"/>
  <c r="BO233" i="5"/>
  <c r="AI47" i="8"/>
  <c r="AI49" i="8" s="1"/>
  <c r="AI50" i="8" s="1"/>
  <c r="AI23" i="8"/>
  <c r="AK60" i="12"/>
  <c r="AK61" i="12" s="1"/>
  <c r="BJ24" i="6"/>
  <c r="BM24" i="6"/>
  <c r="R26" i="25" l="1"/>
  <c r="E26" i="25"/>
  <c r="G42" i="7"/>
  <c r="R28" i="25"/>
  <c r="BZ32" i="5"/>
  <c r="BZ152" i="5"/>
  <c r="BZ33" i="5"/>
  <c r="CA32" i="5"/>
  <c r="CA152" i="5"/>
  <c r="CB31" i="5"/>
  <c r="CB37" i="5" s="1"/>
  <c r="CB60" i="8" s="1"/>
  <c r="CA208" i="5"/>
  <c r="CA102" i="5"/>
  <c r="CA33" i="5"/>
  <c r="CA37" i="5"/>
  <c r="CB149" i="5"/>
  <c r="CB28" i="5"/>
  <c r="CB27" i="5"/>
  <c r="CC26" i="5"/>
  <c r="CB205" i="5"/>
  <c r="CB99" i="5"/>
  <c r="CE96" i="5"/>
  <c r="CE22" i="5"/>
  <c r="CE23" i="5"/>
  <c r="CE146" i="5"/>
  <c r="CD22" i="5"/>
  <c r="CD202" i="5"/>
  <c r="CD146" i="5"/>
  <c r="CD23" i="5"/>
  <c r="CD96" i="5"/>
  <c r="BY39" i="5"/>
  <c r="BO74" i="16"/>
  <c r="BV114" i="8"/>
  <c r="BW22" i="12"/>
  <c r="BX109" i="5"/>
  <c r="BX215" i="5"/>
  <c r="BX42" i="5"/>
  <c r="BX93" i="12" s="1"/>
  <c r="BX49" i="5"/>
  <c r="BX53" i="5" s="1"/>
  <c r="BX159" i="5"/>
  <c r="BW50" i="5"/>
  <c r="BW117" i="5"/>
  <c r="BW167" i="5"/>
  <c r="BW223" i="5"/>
  <c r="BW76" i="8"/>
  <c r="BV54" i="5"/>
  <c r="BV67" i="16"/>
  <c r="BV56" i="5"/>
  <c r="BV121" i="5"/>
  <c r="BV227" i="5"/>
  <c r="BX28" i="8"/>
  <c r="BX10" i="8"/>
  <c r="BW110" i="8"/>
  <c r="BW32" i="8"/>
  <c r="BW41" i="8" s="1"/>
  <c r="BY106" i="5"/>
  <c r="BY38" i="5"/>
  <c r="BY60" i="8"/>
  <c r="BY212" i="5"/>
  <c r="BY41" i="5"/>
  <c r="BY156" i="5"/>
  <c r="BV80" i="8"/>
  <c r="BZ99" i="5"/>
  <c r="BZ27" i="5"/>
  <c r="BZ28" i="5"/>
  <c r="BZ149" i="5"/>
  <c r="BZ37" i="5"/>
  <c r="BZ39" i="5" s="1"/>
  <c r="BT80" i="8"/>
  <c r="BT79" i="8"/>
  <c r="BS63" i="16"/>
  <c r="BS174" i="5"/>
  <c r="BS230" i="5"/>
  <c r="BS59" i="5"/>
  <c r="BS124" i="5"/>
  <c r="BU110" i="8"/>
  <c r="BU113" i="8" s="1"/>
  <c r="BU32" i="8"/>
  <c r="BU41" i="8" s="1"/>
  <c r="BT114" i="8"/>
  <c r="BT113" i="8"/>
  <c r="BT54" i="5"/>
  <c r="BT171" i="5"/>
  <c r="BT227" i="5"/>
  <c r="BT67" i="16"/>
  <c r="BT121" i="5"/>
  <c r="BT56" i="5"/>
  <c r="AJ47" i="8"/>
  <c r="AJ23" i="8"/>
  <c r="AI51" i="8"/>
  <c r="AI45" i="8"/>
  <c r="AI54" i="8" s="1"/>
  <c r="AM60" i="12"/>
  <c r="AM61" i="12" s="1"/>
  <c r="I27" i="25" l="1"/>
  <c r="I26" i="25"/>
  <c r="E28" i="25"/>
  <c r="G27" i="25"/>
  <c r="S26" i="25"/>
  <c r="E30" i="25"/>
  <c r="P29" i="25"/>
  <c r="S28" i="25"/>
  <c r="CB10" i="8"/>
  <c r="CB28" i="8"/>
  <c r="CA38" i="5"/>
  <c r="CA60" i="8"/>
  <c r="CA212" i="5"/>
  <c r="CA39" i="5"/>
  <c r="CA106" i="5"/>
  <c r="CA41" i="5"/>
  <c r="CB33" i="5"/>
  <c r="CB32" i="5"/>
  <c r="CC31" i="5"/>
  <c r="CC37" i="5" s="1"/>
  <c r="CC60" i="8" s="1"/>
  <c r="CB152" i="5"/>
  <c r="CB102" i="5"/>
  <c r="CB208" i="5"/>
  <c r="CA156" i="5"/>
  <c r="CB38" i="5"/>
  <c r="CB41" i="5"/>
  <c r="CB90" i="12" s="1"/>
  <c r="CB106" i="5"/>
  <c r="CB212" i="5"/>
  <c r="CB156" i="5"/>
  <c r="CB39" i="5"/>
  <c r="CC27" i="5"/>
  <c r="CD26" i="5"/>
  <c r="CC28" i="5"/>
  <c r="CC205" i="5"/>
  <c r="CC149" i="5"/>
  <c r="CC99" i="5"/>
  <c r="BZ41" i="5"/>
  <c r="BZ90" i="12" s="1"/>
  <c r="BY90" i="12"/>
  <c r="BX22" i="12"/>
  <c r="BX19" i="12"/>
  <c r="BV230" i="5"/>
  <c r="BW114" i="8"/>
  <c r="BW113" i="8"/>
  <c r="BW80" i="8"/>
  <c r="BW79" i="8"/>
  <c r="BX76" i="8"/>
  <c r="BY49" i="5"/>
  <c r="BY53" i="5" s="1"/>
  <c r="BY215" i="5"/>
  <c r="BY159" i="5"/>
  <c r="BY42" i="5"/>
  <c r="BY93" i="12" s="1"/>
  <c r="BY109" i="5"/>
  <c r="BX110" i="8"/>
  <c r="BX32" i="8"/>
  <c r="BX41" i="8" s="1"/>
  <c r="BW121" i="5"/>
  <c r="BW67" i="16"/>
  <c r="BW54" i="5"/>
  <c r="BW227" i="5"/>
  <c r="BW171" i="5"/>
  <c r="BX56" i="5"/>
  <c r="BX50" i="5"/>
  <c r="BX117" i="5"/>
  <c r="BX167" i="5"/>
  <c r="BX223" i="5"/>
  <c r="BY28" i="8"/>
  <c r="BY10" i="8"/>
  <c r="BZ38" i="5"/>
  <c r="BZ106" i="5"/>
  <c r="BZ60" i="8"/>
  <c r="BZ156" i="5"/>
  <c r="BV59" i="5"/>
  <c r="BQ23" i="6" s="1"/>
  <c r="BV63" i="16"/>
  <c r="BV124" i="5"/>
  <c r="BW56" i="5"/>
  <c r="BS233" i="5"/>
  <c r="BN23" i="6"/>
  <c r="BS177" i="5"/>
  <c r="BT174" i="5"/>
  <c r="BT230" i="5"/>
  <c r="BT124" i="5"/>
  <c r="BT63" i="16"/>
  <c r="BT59" i="5"/>
  <c r="AJ49" i="8"/>
  <c r="AJ50" i="8" s="1"/>
  <c r="AL7" i="8"/>
  <c r="AL12" i="8" s="1"/>
  <c r="AK23" i="8"/>
  <c r="AK47" i="8"/>
  <c r="AK49" i="8" s="1"/>
  <c r="AK50" i="8" s="1"/>
  <c r="AJ51" i="8"/>
  <c r="AJ45" i="8"/>
  <c r="AJ54" i="8" s="1"/>
  <c r="AN60" i="12"/>
  <c r="BQ24" i="6"/>
  <c r="BN24" i="6"/>
  <c r="R29" i="25" l="1"/>
  <c r="F26" i="25"/>
  <c r="E31" i="25"/>
  <c r="G47" i="7"/>
  <c r="P30" i="25"/>
  <c r="R30" i="25" s="1"/>
  <c r="S30" i="25" s="1"/>
  <c r="CA10" i="8"/>
  <c r="CA76" i="8" s="1"/>
  <c r="CA79" i="8" s="1"/>
  <c r="CA28" i="8"/>
  <c r="CB22" i="12" s="1"/>
  <c r="CC10" i="8"/>
  <c r="CC28" i="8"/>
  <c r="CB32" i="8"/>
  <c r="CB41" i="8" s="1"/>
  <c r="CB110" i="8"/>
  <c r="CB76" i="8"/>
  <c r="CA159" i="5"/>
  <c r="CA90" i="12"/>
  <c r="BY19" i="12"/>
  <c r="BZ19" i="12" s="1"/>
  <c r="BY22" i="12"/>
  <c r="BZ22" i="12" s="1"/>
  <c r="CA109" i="5"/>
  <c r="CA42" i="5"/>
  <c r="CA93" i="12" s="1"/>
  <c r="CC102" i="5"/>
  <c r="CC32" i="5"/>
  <c r="CC33" i="5"/>
  <c r="CC152" i="5"/>
  <c r="CC208" i="5"/>
  <c r="CD31" i="5"/>
  <c r="CE31" i="5" s="1"/>
  <c r="CA49" i="5"/>
  <c r="CA53" i="5" s="1"/>
  <c r="CA215" i="5"/>
  <c r="CE26" i="5"/>
  <c r="CD99" i="5"/>
  <c r="CD205" i="5"/>
  <c r="CD28" i="5"/>
  <c r="CD27" i="5"/>
  <c r="CD149" i="5"/>
  <c r="CB42" i="5"/>
  <c r="CB93" i="12" s="1"/>
  <c r="CB109" i="5"/>
  <c r="CB159" i="5"/>
  <c r="CB215" i="5"/>
  <c r="CB49" i="5"/>
  <c r="CB53" i="5" s="1"/>
  <c r="CC41" i="5"/>
  <c r="CC90" i="12" s="1"/>
  <c r="CC39" i="5"/>
  <c r="CC106" i="5"/>
  <c r="CC212" i="5"/>
  <c r="CC38" i="5"/>
  <c r="CC156" i="5"/>
  <c r="BZ42" i="5"/>
  <c r="BZ93" i="12" s="1"/>
  <c r="BZ109" i="5"/>
  <c r="BZ49" i="5"/>
  <c r="BZ50" i="5" s="1"/>
  <c r="BX59" i="5"/>
  <c r="BX174" i="5"/>
  <c r="BX124" i="5"/>
  <c r="BV233" i="5"/>
  <c r="BX114" i="8"/>
  <c r="BX113" i="8"/>
  <c r="BX79" i="8"/>
  <c r="BX80" i="8"/>
  <c r="BZ10" i="8"/>
  <c r="BY76" i="8"/>
  <c r="BX230" i="5"/>
  <c r="BY32" i="8"/>
  <c r="BY41" i="8" s="1"/>
  <c r="BY110" i="8"/>
  <c r="BZ28" i="8"/>
  <c r="BX121" i="5"/>
  <c r="BX171" i="5"/>
  <c r="BX227" i="5"/>
  <c r="BX67" i="16"/>
  <c r="BX54" i="5"/>
  <c r="BX63" i="16"/>
  <c r="BY117" i="5"/>
  <c r="BY223" i="5"/>
  <c r="BY167" i="5"/>
  <c r="BY50" i="5"/>
  <c r="BW230" i="5"/>
  <c r="BW59" i="5"/>
  <c r="BR23" i="6" s="1"/>
  <c r="BW63" i="16"/>
  <c r="BW124" i="5"/>
  <c r="BW174" i="5"/>
  <c r="BO23" i="6"/>
  <c r="BT233" i="5"/>
  <c r="BT177" i="5"/>
  <c r="AM47" i="8"/>
  <c r="AM49" i="8" s="1"/>
  <c r="AM50" i="8" s="1"/>
  <c r="AM23" i="8"/>
  <c r="AM54" i="8" s="1"/>
  <c r="AK51" i="8"/>
  <c r="AL43" i="8"/>
  <c r="AK45" i="8"/>
  <c r="AK54" i="8" s="1"/>
  <c r="AL23" i="8"/>
  <c r="AL47" i="8"/>
  <c r="AL49" i="8" s="1"/>
  <c r="AL50" i="8" s="1"/>
  <c r="BO24" i="6"/>
  <c r="BR24" i="6"/>
  <c r="S29" i="25" l="1"/>
  <c r="F31" i="25" s="1"/>
  <c r="F30" i="25"/>
  <c r="F28" i="25"/>
  <c r="F27" i="25"/>
  <c r="G28" i="25"/>
  <c r="CB19" i="12"/>
  <c r="CA19" i="12"/>
  <c r="CC76" i="8"/>
  <c r="CC19" i="12"/>
  <c r="CC110" i="8"/>
  <c r="CC22" i="12"/>
  <c r="CC32" i="8"/>
  <c r="CC41" i="8" s="1"/>
  <c r="CB80" i="8"/>
  <c r="CB79" i="8"/>
  <c r="CA110" i="8"/>
  <c r="CA113" i="8" s="1"/>
  <c r="CA32" i="8"/>
  <c r="CA41" i="8" s="1"/>
  <c r="CA22" i="12"/>
  <c r="CB113" i="8"/>
  <c r="CA80" i="8"/>
  <c r="CD37" i="5"/>
  <c r="CE32" i="5"/>
  <c r="CE152" i="5"/>
  <c r="CE102" i="5"/>
  <c r="CE33" i="5"/>
  <c r="CA50" i="5"/>
  <c r="CA167" i="5"/>
  <c r="CA223" i="5"/>
  <c r="CA117" i="5"/>
  <c r="CD152" i="5"/>
  <c r="CD32" i="5"/>
  <c r="CD208" i="5"/>
  <c r="CD102" i="5"/>
  <c r="CD33" i="5"/>
  <c r="CC215" i="5"/>
  <c r="CC109" i="5"/>
  <c r="CC42" i="5"/>
  <c r="CC93" i="12" s="1"/>
  <c r="CC49" i="5"/>
  <c r="CC53" i="5" s="1"/>
  <c r="CC159" i="5"/>
  <c r="CB50" i="5"/>
  <c r="CB117" i="5"/>
  <c r="CB167" i="5"/>
  <c r="CB223" i="5"/>
  <c r="CE27" i="5"/>
  <c r="CE149" i="5"/>
  <c r="CE28" i="5"/>
  <c r="CE99" i="5"/>
  <c r="CE37" i="5"/>
  <c r="CE60" i="8" s="1"/>
  <c r="BZ53" i="5"/>
  <c r="BZ121" i="5" s="1"/>
  <c r="BZ117" i="5"/>
  <c r="BX177" i="5"/>
  <c r="BS23" i="6"/>
  <c r="BX233" i="5"/>
  <c r="BY113" i="8"/>
  <c r="BY114" i="8"/>
  <c r="BZ32" i="8"/>
  <c r="BZ41" i="8" s="1"/>
  <c r="BZ110" i="8"/>
  <c r="BY227" i="5"/>
  <c r="BY67" i="16"/>
  <c r="BY121" i="5"/>
  <c r="BY56" i="5"/>
  <c r="BY171" i="5"/>
  <c r="BY54" i="5"/>
  <c r="BY79" i="8"/>
  <c r="BY80" i="8"/>
  <c r="BZ76" i="8"/>
  <c r="BW177" i="5"/>
  <c r="BW233" i="5"/>
  <c r="AN47" i="8"/>
  <c r="AN49" i="8" s="1"/>
  <c r="AN50" i="8" s="1"/>
  <c r="AN23" i="8"/>
  <c r="AM51" i="8"/>
  <c r="AL45" i="8"/>
  <c r="AL54" i="8" s="1"/>
  <c r="AL51" i="8"/>
  <c r="BS24" i="6"/>
  <c r="CA114" i="8" l="1"/>
  <c r="CB114" i="8"/>
  <c r="CD41" i="5"/>
  <c r="CD90" i="12" s="1"/>
  <c r="CD60" i="8"/>
  <c r="CC114" i="8"/>
  <c r="CC113" i="8"/>
  <c r="CD38" i="5"/>
  <c r="CC80" i="8"/>
  <c r="CC79" i="8"/>
  <c r="CA56" i="5"/>
  <c r="CA63" i="16" s="1"/>
  <c r="CA67" i="16"/>
  <c r="CB56" i="5"/>
  <c r="CB63" i="16" s="1"/>
  <c r="CB67" i="16"/>
  <c r="CD39" i="5"/>
  <c r="CD212" i="5"/>
  <c r="CD106" i="5"/>
  <c r="CD156" i="5"/>
  <c r="CA54" i="5"/>
  <c r="CA121" i="5"/>
  <c r="BZ67" i="16"/>
  <c r="BZ56" i="5"/>
  <c r="BZ63" i="16" s="1"/>
  <c r="CA227" i="5"/>
  <c r="CA171" i="5"/>
  <c r="CE156" i="5"/>
  <c r="CE106" i="5"/>
  <c r="CE38" i="5"/>
  <c r="CE39" i="5"/>
  <c r="CC223" i="5"/>
  <c r="CC167" i="5"/>
  <c r="CC117" i="5"/>
  <c r="CC50" i="5"/>
  <c r="CC67" i="16"/>
  <c r="CB227" i="5"/>
  <c r="CB54" i="5"/>
  <c r="CB171" i="5"/>
  <c r="CB121" i="5"/>
  <c r="BZ54" i="5"/>
  <c r="BZ113" i="8"/>
  <c r="BZ112" i="8"/>
  <c r="BZ78" i="8"/>
  <c r="BZ79" i="8"/>
  <c r="BY59" i="5"/>
  <c r="BY124" i="5"/>
  <c r="BY174" i="5"/>
  <c r="BY63" i="16"/>
  <c r="BY230" i="5"/>
  <c r="AN45" i="8"/>
  <c r="AN54" i="8" s="1"/>
  <c r="AN51" i="8"/>
  <c r="CB174" i="5" l="1"/>
  <c r="CD49" i="5"/>
  <c r="CE41" i="5"/>
  <c r="CE90" i="12" s="1"/>
  <c r="CD109" i="5"/>
  <c r="CD42" i="5"/>
  <c r="CD93" i="12" s="1"/>
  <c r="CD215" i="5"/>
  <c r="CD159" i="5"/>
  <c r="CA230" i="5"/>
  <c r="CA59" i="5"/>
  <c r="CA233" i="5" s="1"/>
  <c r="CB59" i="5"/>
  <c r="BW23" i="6" s="1"/>
  <c r="CA124" i="5"/>
  <c r="CD10" i="8"/>
  <c r="CD28" i="8"/>
  <c r="CB230" i="5"/>
  <c r="CB124" i="5"/>
  <c r="CA174" i="5"/>
  <c r="BZ124" i="5"/>
  <c r="BZ59" i="5"/>
  <c r="BU23" i="6" s="1"/>
  <c r="CC227" i="5"/>
  <c r="CC54" i="5"/>
  <c r="CC121" i="5"/>
  <c r="CC171" i="5"/>
  <c r="CC56" i="5"/>
  <c r="CC63" i="16" s="1"/>
  <c r="BT23" i="6"/>
  <c r="BY177" i="5"/>
  <c r="BY233" i="5"/>
  <c r="AN86" i="8"/>
  <c r="BT24" i="6"/>
  <c r="BU24" i="6"/>
  <c r="BW24" i="6"/>
  <c r="CD53" i="5" l="1"/>
  <c r="CD67" i="16" s="1"/>
  <c r="CD50" i="5"/>
  <c r="CD117" i="5"/>
  <c r="CE109" i="5"/>
  <c r="CD167" i="5"/>
  <c r="CD223" i="5"/>
  <c r="CB177" i="5"/>
  <c r="CE159" i="5"/>
  <c r="CE42" i="5"/>
  <c r="CE93" i="12" s="1"/>
  <c r="CE49" i="5"/>
  <c r="CE50" i="5" s="1"/>
  <c r="CA177" i="5"/>
  <c r="BV23" i="6"/>
  <c r="CB233" i="5"/>
  <c r="CD22" i="12"/>
  <c r="CE22" i="12" s="1"/>
  <c r="CD110" i="8"/>
  <c r="CE28" i="8"/>
  <c r="CD32" i="8"/>
  <c r="CD41" i="8" s="1"/>
  <c r="CD19" i="12"/>
  <c r="CE19" i="12" s="1"/>
  <c r="CE10" i="8"/>
  <c r="CE76" i="8" s="1"/>
  <c r="CD76" i="8"/>
  <c r="CD171" i="5"/>
  <c r="CD227" i="5"/>
  <c r="CD121" i="5"/>
  <c r="CD54" i="5"/>
  <c r="CE53" i="5"/>
  <c r="CE67" i="16" s="1"/>
  <c r="CC230" i="5"/>
  <c r="CC174" i="5"/>
  <c r="CC59" i="5"/>
  <c r="BX23" i="6" s="1"/>
  <c r="CC124" i="5"/>
  <c r="CD56" i="5"/>
  <c r="CD63" i="16" s="1"/>
  <c r="AN87" i="8"/>
  <c r="AN96" i="8"/>
  <c r="AN97" i="8" s="1"/>
  <c r="AN73" i="16"/>
  <c r="BV24" i="6"/>
  <c r="BX24" i="6"/>
  <c r="CE167" i="5" l="1"/>
  <c r="CE117" i="5"/>
  <c r="CE78" i="8"/>
  <c r="CE79" i="8"/>
  <c r="CE110" i="8"/>
  <c r="CE32" i="8"/>
  <c r="CE41" i="8" s="1"/>
  <c r="CD80" i="8"/>
  <c r="CD79" i="8"/>
  <c r="CD114" i="8"/>
  <c r="CD113" i="8"/>
  <c r="CD174" i="5"/>
  <c r="CD59" i="5"/>
  <c r="BY23" i="6" s="1"/>
  <c r="CD230" i="5"/>
  <c r="CD124" i="5"/>
  <c r="CE171" i="5"/>
  <c r="CE56" i="5"/>
  <c r="CE63" i="16" s="1"/>
  <c r="CE121" i="5"/>
  <c r="CE54" i="5"/>
  <c r="CC233" i="5"/>
  <c r="CC177" i="5"/>
  <c r="AN71" i="16"/>
  <c r="BY24" i="6"/>
  <c r="CE112" i="8" l="1"/>
  <c r="CE113" i="8"/>
  <c r="CE174" i="5"/>
  <c r="CE124" i="5"/>
  <c r="CE59" i="5"/>
  <c r="CD233" i="5"/>
  <c r="CD177" i="5"/>
  <c r="AN63" i="8"/>
  <c r="AN77" i="16"/>
  <c r="AN74" i="16" s="1"/>
  <c r="CE177" i="5" l="1"/>
  <c r="BZ23" i="6"/>
  <c r="AN87" i="16"/>
  <c r="AN94" i="16" s="1"/>
  <c r="AN64" i="12"/>
  <c r="BZ24" i="6"/>
  <c r="AN81" i="12" l="1"/>
  <c r="AN65" i="5"/>
  <c r="AN96" i="16"/>
  <c r="AN97" i="16"/>
  <c r="AN98" i="16"/>
  <c r="AN66" i="5" s="1"/>
  <c r="AN82" i="12" l="1"/>
  <c r="AN83" i="12"/>
  <c r="AN94" i="8"/>
  <c r="AN65" i="12"/>
  <c r="AN68" i="12" s="1"/>
  <c r="AN69" i="12" s="1"/>
  <c r="AN83" i="8"/>
  <c r="AN61" i="12"/>
  <c r="AO60" i="12" s="1"/>
  <c r="AN95" i="8" l="1"/>
  <c r="AN88" i="8"/>
  <c r="AO12" i="8"/>
  <c r="AN98" i="8"/>
  <c r="AN85" i="8"/>
  <c r="AN71" i="12"/>
  <c r="AN68" i="5" s="1"/>
  <c r="AN70" i="12"/>
  <c r="AN65" i="8"/>
  <c r="AN67" i="5"/>
  <c r="AO47" i="8" l="1"/>
  <c r="AO49" i="8" s="1"/>
  <c r="AO50" i="8" s="1"/>
  <c r="AO23" i="8" l="1"/>
  <c r="AO51" i="8" l="1"/>
  <c r="AO45" i="8"/>
  <c r="AO54" i="8" s="1"/>
  <c r="AO65" i="12"/>
  <c r="AO94" i="8"/>
  <c r="AO95" i="8" s="1"/>
  <c r="AO83" i="8"/>
  <c r="AO38" i="12"/>
  <c r="AO85" i="8" l="1"/>
  <c r="AO27" i="12" l="1"/>
  <c r="AO58" i="12" s="1"/>
  <c r="AO61" i="12" s="1"/>
  <c r="AP60" i="12" s="1"/>
  <c r="AO64" i="12" l="1"/>
  <c r="AO68" i="12" s="1"/>
  <c r="AO63" i="8"/>
  <c r="AO70" i="12" l="1"/>
  <c r="AO67" i="5"/>
  <c r="AO65" i="8"/>
  <c r="AO69" i="12"/>
  <c r="AP70" i="12"/>
  <c r="AO71" i="12"/>
  <c r="AO68" i="5" s="1"/>
  <c r="AQ7" i="8"/>
  <c r="AP47" i="8"/>
  <c r="AP49" i="8" s="1"/>
  <c r="AP50" i="8" s="1"/>
  <c r="AP12" i="8"/>
  <c r="AP23" i="8" s="1"/>
  <c r="AP51" i="8" l="1"/>
  <c r="AQ43" i="8"/>
  <c r="AP45" i="8"/>
  <c r="AP54" i="8" s="1"/>
  <c r="AQ47" i="8"/>
  <c r="AQ49" i="8" s="1"/>
  <c r="AQ50" i="8" s="1"/>
  <c r="AQ12" i="8"/>
  <c r="AQ23" i="8" s="1"/>
  <c r="AQ51" i="8" l="1"/>
  <c r="AQ45" i="8"/>
  <c r="AQ54" i="8" s="1"/>
  <c r="AO73" i="16" l="1"/>
  <c r="AO71" i="16" l="1"/>
  <c r="AO74" i="16" l="1"/>
  <c r="AO86" i="8"/>
  <c r="AO87" i="8" s="1"/>
  <c r="AO88" i="8" l="1"/>
  <c r="AO80" i="16"/>
  <c r="AO87" i="16" s="1"/>
  <c r="AO94" i="16" s="1"/>
  <c r="AO96" i="8"/>
  <c r="AO98" i="8" l="1"/>
  <c r="AP97" i="16"/>
  <c r="AO65" i="5"/>
  <c r="AO98" i="16"/>
  <c r="AO66" i="5" s="1"/>
  <c r="AO81" i="12"/>
  <c r="AO97" i="16"/>
  <c r="AO96" i="16"/>
  <c r="AO97" i="8"/>
  <c r="AO82" i="12" l="1"/>
  <c r="AP83" i="12"/>
  <c r="AO83" i="12"/>
  <c r="AP94" i="8" l="1"/>
  <c r="AP98" i="8" s="1"/>
  <c r="AP38" i="12"/>
  <c r="AP58" i="12" s="1"/>
  <c r="AP61" i="12" s="1"/>
  <c r="AR60" i="12" s="1"/>
  <c r="AP95" i="8" l="1"/>
  <c r="AQ65" i="12"/>
  <c r="AQ83" i="8"/>
  <c r="AQ85" i="8" s="1"/>
  <c r="AQ96" i="8"/>
  <c r="AQ97" i="8" s="1"/>
  <c r="AQ65" i="16"/>
  <c r="AQ86" i="8"/>
  <c r="AQ88" i="8" l="1"/>
  <c r="AQ81" i="16"/>
  <c r="AQ87" i="8"/>
  <c r="AQ113" i="16"/>
  <c r="AQ114" i="16" s="1"/>
  <c r="AQ27" i="12"/>
  <c r="AQ64" i="12" s="1"/>
  <c r="AQ68" i="12" s="1"/>
  <c r="AQ64" i="16" l="1"/>
  <c r="AQ73" i="16" s="1"/>
  <c r="AQ77" i="16" s="1"/>
  <c r="AQ87" i="16" s="1"/>
  <c r="AQ89" i="16"/>
  <c r="AQ69" i="12"/>
  <c r="AQ65" i="8"/>
  <c r="AQ67" i="5"/>
  <c r="AQ71" i="12"/>
  <c r="AQ68" i="5" s="1"/>
  <c r="AQ63" i="8"/>
  <c r="AQ116" i="16"/>
  <c r="AV114" i="16"/>
  <c r="AQ71" i="16" l="1"/>
  <c r="AQ94" i="16"/>
  <c r="AQ65" i="5" s="1"/>
  <c r="AQ74" i="16"/>
  <c r="AQ94" i="8"/>
  <c r="AQ98" i="8" s="1"/>
  <c r="AQ38" i="12"/>
  <c r="AQ58" i="12" s="1"/>
  <c r="AQ61" i="12" s="1"/>
  <c r="AV60" i="12" s="1"/>
  <c r="AQ81" i="12" l="1"/>
  <c r="AQ82" i="12" s="1"/>
  <c r="AQ98" i="16"/>
  <c r="AQ66" i="5" s="1"/>
  <c r="AQ96" i="16"/>
  <c r="AQ95" i="8"/>
  <c r="AR79" i="16"/>
  <c r="AR73" i="16"/>
  <c r="AR96" i="8" l="1"/>
  <c r="AR77" i="16"/>
  <c r="AR71" i="16"/>
  <c r="AR98" i="8" l="1"/>
  <c r="AR97" i="8"/>
  <c r="AR87" i="16"/>
  <c r="AR94" i="16" s="1"/>
  <c r="AR27" i="12"/>
  <c r="AR74" i="16"/>
  <c r="AR58" i="12" l="1"/>
  <c r="AR61" i="12" s="1"/>
  <c r="AR63" i="8"/>
  <c r="AR64" i="12"/>
  <c r="AR68" i="12" s="1"/>
  <c r="AR65" i="5"/>
  <c r="AR96" i="16"/>
  <c r="AR97" i="16"/>
  <c r="AR98" i="16"/>
  <c r="AR66" i="5" s="1"/>
  <c r="AR81" i="12"/>
  <c r="AR83" i="12" l="1"/>
  <c r="AR82" i="12"/>
  <c r="AR69" i="12"/>
  <c r="AR70" i="12"/>
  <c r="AR65" i="8"/>
  <c r="AR67" i="5"/>
  <c r="AR71" i="12"/>
  <c r="AR68" i="5" s="1"/>
  <c r="AS60" i="12"/>
  <c r="AR47" i="8" l="1"/>
  <c r="AR49" i="8" s="1"/>
  <c r="AR50" i="8" s="1"/>
  <c r="AR12" i="8"/>
  <c r="AR23" i="8" s="1"/>
  <c r="AR51" i="8" l="1"/>
  <c r="AR45" i="8"/>
  <c r="AR54" i="8" s="1"/>
  <c r="AS79" i="16"/>
  <c r="AS96" i="8" l="1"/>
  <c r="AS80" i="16"/>
  <c r="AT79" i="16"/>
  <c r="AS97" i="8" l="1"/>
  <c r="AS98" i="8"/>
  <c r="AT96" i="8"/>
  <c r="AT80" i="16"/>
  <c r="AV79" i="16"/>
  <c r="AT97" i="8" l="1"/>
  <c r="AT98" i="8"/>
  <c r="AV26" i="19"/>
  <c r="AQ26" i="19"/>
  <c r="AQ14" i="19"/>
  <c r="AQ17" i="19" s="1"/>
  <c r="AQ11" i="19"/>
  <c r="AQ35" i="19" s="1"/>
  <c r="AV96" i="8" l="1"/>
  <c r="AV18" i="8"/>
  <c r="AX93" i="8" s="1"/>
  <c r="AQ29" i="19"/>
  <c r="AV29" i="19"/>
  <c r="BA93" i="8" l="1"/>
  <c r="AV100" i="8"/>
  <c r="AV98" i="8" s="1"/>
  <c r="AV81" i="16"/>
  <c r="AV97" i="8"/>
  <c r="AX16" i="5" l="1"/>
  <c r="BC139" i="5"/>
  <c r="AS16" i="5"/>
  <c r="AS91" i="5" s="1"/>
  <c r="AS89" i="5"/>
  <c r="AS139" i="5"/>
  <c r="AS59" i="8"/>
  <c r="AS195" i="5"/>
  <c r="AX139" i="5"/>
  <c r="AX89" i="5"/>
  <c r="AX59" i="8"/>
  <c r="AS41" i="5" l="1"/>
  <c r="AS215" i="5" s="1"/>
  <c r="AS197" i="5"/>
  <c r="AX105" i="8"/>
  <c r="AX112" i="8"/>
  <c r="AX78" i="8"/>
  <c r="BC141" i="5"/>
  <c r="AX18" i="5"/>
  <c r="AX41" i="5"/>
  <c r="BC159" i="5" s="1"/>
  <c r="AX91" i="5"/>
  <c r="AS141" i="5"/>
  <c r="AS18" i="5"/>
  <c r="AX141" i="5"/>
  <c r="AS112" i="8"/>
  <c r="AS78" i="8"/>
  <c r="AS105" i="8"/>
  <c r="AT139" i="5"/>
  <c r="AT89" i="5"/>
  <c r="AT195" i="5"/>
  <c r="AT59" i="8"/>
  <c r="AT16" i="5"/>
  <c r="AS49" i="5" l="1"/>
  <c r="AS117" i="5" s="1"/>
  <c r="AS109" i="5"/>
  <c r="AS42" i="5"/>
  <c r="AS159" i="5"/>
  <c r="AX49" i="5"/>
  <c r="AX117" i="5" s="1"/>
  <c r="AX109" i="5"/>
  <c r="AX159" i="5"/>
  <c r="AX42" i="5"/>
  <c r="AT112" i="8"/>
  <c r="AT105" i="8"/>
  <c r="AT78" i="8"/>
  <c r="AT18" i="5"/>
  <c r="AX53" i="8"/>
  <c r="AX108" i="8" s="1"/>
  <c r="AX32" i="8"/>
  <c r="AX41" i="8" s="1"/>
  <c r="AT197" i="5"/>
  <c r="AT91" i="5"/>
  <c r="AT141" i="5"/>
  <c r="AT41" i="5"/>
  <c r="AU139" i="5"/>
  <c r="AU195" i="5"/>
  <c r="AU89" i="5"/>
  <c r="AV14" i="5"/>
  <c r="AU16" i="5"/>
  <c r="AU18" i="5" s="1"/>
  <c r="AU59" i="8"/>
  <c r="AS53" i="8"/>
  <c r="AS108" i="8" s="1"/>
  <c r="AS32" i="8"/>
  <c r="AS41" i="8" s="1"/>
  <c r="AS167" i="5" l="1"/>
  <c r="AS223" i="5"/>
  <c r="AS50" i="5"/>
  <c r="AZ139" i="5"/>
  <c r="BC171" i="5"/>
  <c r="AX50" i="5"/>
  <c r="AX167" i="5"/>
  <c r="BC167" i="5"/>
  <c r="AU105" i="8"/>
  <c r="AU112" i="8"/>
  <c r="AU78" i="8"/>
  <c r="AX56" i="5"/>
  <c r="AZ16" i="5"/>
  <c r="AZ18" i="5" s="1"/>
  <c r="AZ59" i="8"/>
  <c r="AZ89" i="5"/>
  <c r="AS56" i="5"/>
  <c r="AS124" i="5" s="1"/>
  <c r="AT32" i="8"/>
  <c r="AT41" i="8" s="1"/>
  <c r="AT53" i="8"/>
  <c r="AT108" i="8" s="1"/>
  <c r="AT159" i="5"/>
  <c r="AT215" i="5"/>
  <c r="AT42" i="5"/>
  <c r="AT109" i="5"/>
  <c r="AT49" i="5"/>
  <c r="AX80" i="8"/>
  <c r="AX121" i="5"/>
  <c r="AX54" i="5"/>
  <c r="AX171" i="5"/>
  <c r="AV27" i="8"/>
  <c r="AV28" i="8"/>
  <c r="AV10" i="8"/>
  <c r="AU197" i="5"/>
  <c r="AU91" i="5"/>
  <c r="AU141" i="5"/>
  <c r="AU41" i="5"/>
  <c r="AV41" i="5" s="1"/>
  <c r="AS227" i="5"/>
  <c r="AS121" i="5"/>
  <c r="AS67" i="16"/>
  <c r="AS70" i="16" s="1"/>
  <c r="AS85" i="16" s="1"/>
  <c r="AS171" i="5"/>
  <c r="AS54" i="5"/>
  <c r="AX107" i="8"/>
  <c r="AX114" i="8"/>
  <c r="AV139" i="5"/>
  <c r="AV89" i="5"/>
  <c r="AV59" i="8"/>
  <c r="AV16" i="5"/>
  <c r="AS63" i="16" l="1"/>
  <c r="AS73" i="16" s="1"/>
  <c r="AS77" i="16" s="1"/>
  <c r="AS74" i="16" s="1"/>
  <c r="AS59" i="5"/>
  <c r="AS233" i="5" s="1"/>
  <c r="AZ105" i="8"/>
  <c r="AZ112" i="8"/>
  <c r="AZ78" i="8"/>
  <c r="AZ195" i="5"/>
  <c r="BC174" i="5"/>
  <c r="AX63" i="16"/>
  <c r="AX73" i="16" s="1"/>
  <c r="AS230" i="5"/>
  <c r="BE59" i="8"/>
  <c r="BD139" i="5"/>
  <c r="AZ32" i="8"/>
  <c r="AZ41" i="8" s="1"/>
  <c r="AX59" i="5"/>
  <c r="AX124" i="5"/>
  <c r="AX174" i="5"/>
  <c r="AZ41" i="5"/>
  <c r="AZ159" i="5" s="1"/>
  <c r="AZ141" i="5"/>
  <c r="AY59" i="8"/>
  <c r="AY89" i="5"/>
  <c r="AY16" i="5"/>
  <c r="AY18" i="5" s="1"/>
  <c r="AY195" i="5"/>
  <c r="AY139" i="5"/>
  <c r="AZ91" i="5"/>
  <c r="AS174" i="5"/>
  <c r="AV42" i="5"/>
  <c r="AV109" i="5"/>
  <c r="AV159" i="5"/>
  <c r="AV49" i="5"/>
  <c r="AT50" i="5"/>
  <c r="AT117" i="5"/>
  <c r="AT223" i="5"/>
  <c r="AT167" i="5"/>
  <c r="BA28" i="8"/>
  <c r="BA110" i="8" s="1"/>
  <c r="AX85" i="16"/>
  <c r="AV19" i="12"/>
  <c r="AV76" i="8"/>
  <c r="AU109" i="5"/>
  <c r="AU215" i="5"/>
  <c r="AU42" i="5"/>
  <c r="AU159" i="5"/>
  <c r="AU49" i="5"/>
  <c r="AV91" i="5"/>
  <c r="AV141" i="5"/>
  <c r="AV18" i="5"/>
  <c r="AV22" i="12"/>
  <c r="AV110" i="8"/>
  <c r="AU53" i="8"/>
  <c r="AU108" i="8" s="1"/>
  <c r="AU32" i="8"/>
  <c r="AU41" i="8" s="1"/>
  <c r="AV21" i="12"/>
  <c r="AS71" i="16" l="1"/>
  <c r="AN23" i="6"/>
  <c r="AS177" i="5"/>
  <c r="BE112" i="8"/>
  <c r="BE78" i="8"/>
  <c r="BE105" i="8"/>
  <c r="AY105" i="8"/>
  <c r="AY112" i="8"/>
  <c r="AY78" i="8"/>
  <c r="BE89" i="5"/>
  <c r="BI139" i="5"/>
  <c r="BE139" i="5"/>
  <c r="BE141" i="5"/>
  <c r="BD59" i="8"/>
  <c r="BD195" i="5"/>
  <c r="BD197" i="5"/>
  <c r="BD89" i="5"/>
  <c r="AX77" i="16"/>
  <c r="AX74" i="16" s="1"/>
  <c r="AX71" i="16"/>
  <c r="BE53" i="8"/>
  <c r="BE108" i="8" s="1"/>
  <c r="BF10" i="8"/>
  <c r="BF76" i="8" s="1"/>
  <c r="BE195" i="5"/>
  <c r="BI59" i="8"/>
  <c r="BI89" i="5"/>
  <c r="BI195" i="5"/>
  <c r="BJ59" i="8"/>
  <c r="BJ112" i="8" s="1"/>
  <c r="BJ89" i="5"/>
  <c r="BJ195" i="5"/>
  <c r="BJ139" i="5"/>
  <c r="BA27" i="8"/>
  <c r="BA103" i="8" s="1"/>
  <c r="BF28" i="8"/>
  <c r="BF110" i="8" s="1"/>
  <c r="AZ53" i="8"/>
  <c r="AZ108" i="8" s="1"/>
  <c r="BC177" i="5"/>
  <c r="BA10" i="8"/>
  <c r="BA76" i="8" s="1"/>
  <c r="BA79" i="8" s="1"/>
  <c r="AS23" i="6"/>
  <c r="AX177" i="5"/>
  <c r="AU54" i="5"/>
  <c r="AZ49" i="5"/>
  <c r="AZ42" i="5"/>
  <c r="AZ109" i="5"/>
  <c r="AY91" i="5"/>
  <c r="AY41" i="5"/>
  <c r="AY197" i="5"/>
  <c r="AY141" i="5"/>
  <c r="AZ197" i="5"/>
  <c r="AT56" i="5"/>
  <c r="AT124" i="5" s="1"/>
  <c r="AT227" i="5"/>
  <c r="AT54" i="5"/>
  <c r="AT121" i="5"/>
  <c r="AT171" i="5"/>
  <c r="AT67" i="16"/>
  <c r="AT70" i="16" s="1"/>
  <c r="AV167" i="5"/>
  <c r="AV117" i="5"/>
  <c r="AV50" i="5"/>
  <c r="AV103" i="8"/>
  <c r="AV53" i="8"/>
  <c r="AV108" i="8" s="1"/>
  <c r="AV32" i="8"/>
  <c r="AV41" i="8" s="1"/>
  <c r="AS87" i="16"/>
  <c r="AS94" i="16" s="1"/>
  <c r="AS27" i="12"/>
  <c r="AV113" i="8"/>
  <c r="AV112" i="8"/>
  <c r="AU50" i="5"/>
  <c r="AU223" i="5"/>
  <c r="AU167" i="5"/>
  <c r="AU117" i="5"/>
  <c r="AW27" i="12"/>
  <c r="AW64" i="12" s="1"/>
  <c r="AV79" i="8"/>
  <c r="AV78" i="8"/>
  <c r="BA113" i="8"/>
  <c r="AS24" i="6"/>
  <c r="AN24" i="6"/>
  <c r="BD112" i="8" l="1"/>
  <c r="BD78" i="8"/>
  <c r="BD105" i="8"/>
  <c r="BI141" i="5"/>
  <c r="BD91" i="5"/>
  <c r="BF27" i="8"/>
  <c r="BF103" i="8" s="1"/>
  <c r="BJ141" i="5"/>
  <c r="BE197" i="5"/>
  <c r="BD141" i="5"/>
  <c r="BE91" i="5"/>
  <c r="BE41" i="5"/>
  <c r="BD41" i="5"/>
  <c r="BE32" i="8"/>
  <c r="BE41" i="8" s="1"/>
  <c r="BA32" i="8"/>
  <c r="BA41" i="8" s="1"/>
  <c r="BI41" i="5"/>
  <c r="BI91" i="5"/>
  <c r="BI197" i="5"/>
  <c r="BJ41" i="5"/>
  <c r="BJ197" i="5"/>
  <c r="BJ91" i="5"/>
  <c r="AZ50" i="5"/>
  <c r="AZ167" i="5"/>
  <c r="AZ117" i="5"/>
  <c r="AY53" i="8"/>
  <c r="AY108" i="8" s="1"/>
  <c r="AY32" i="8"/>
  <c r="AY41" i="8" s="1"/>
  <c r="AY109" i="5"/>
  <c r="AY49" i="5"/>
  <c r="AY215" i="5"/>
  <c r="AY42" i="5"/>
  <c r="AY159" i="5"/>
  <c r="AZ215" i="5"/>
  <c r="BF113" i="8"/>
  <c r="BF79" i="8"/>
  <c r="AT59" i="5"/>
  <c r="AT230" i="5"/>
  <c r="AT63" i="16"/>
  <c r="AT73" i="16" s="1"/>
  <c r="AT77" i="16" s="1"/>
  <c r="AT74" i="16" s="1"/>
  <c r="AT174" i="5"/>
  <c r="AU227" i="5"/>
  <c r="AU121" i="5"/>
  <c r="AU171" i="5"/>
  <c r="AV53" i="5"/>
  <c r="AS96" i="16"/>
  <c r="AS97" i="16"/>
  <c r="AS98" i="16"/>
  <c r="AS66" i="5" s="1"/>
  <c r="AS65" i="5"/>
  <c r="AS81" i="12"/>
  <c r="AV106" i="8"/>
  <c r="AV105" i="8"/>
  <c r="AT85" i="16"/>
  <c r="BA106" i="8"/>
  <c r="AW58" i="12"/>
  <c r="AW63" i="8"/>
  <c r="AW68" i="12"/>
  <c r="AW67" i="5" s="1"/>
  <c r="AS64" i="12"/>
  <c r="AS68" i="12" s="1"/>
  <c r="AS63" i="8"/>
  <c r="AS58" i="12"/>
  <c r="AS61" i="12" s="1"/>
  <c r="AU56" i="5"/>
  <c r="BJ90" i="12" l="1"/>
  <c r="BN159" i="5"/>
  <c r="BI90" i="12"/>
  <c r="BD109" i="5"/>
  <c r="BD90" i="12"/>
  <c r="BE159" i="5"/>
  <c r="BE90" i="12"/>
  <c r="BF32" i="8"/>
  <c r="BF41" i="8" s="1"/>
  <c r="BO159" i="5"/>
  <c r="AZ56" i="5"/>
  <c r="AZ63" i="16" s="1"/>
  <c r="AZ73" i="16" s="1"/>
  <c r="AZ77" i="16" s="1"/>
  <c r="AZ74" i="16" s="1"/>
  <c r="BD32" i="8"/>
  <c r="BD41" i="8" s="1"/>
  <c r="BD53" i="8"/>
  <c r="BD108" i="8" s="1"/>
  <c r="BE109" i="5"/>
  <c r="BE42" i="5"/>
  <c r="BE93" i="12" s="1"/>
  <c r="BE49" i="5"/>
  <c r="BI159" i="5"/>
  <c r="BE215" i="5"/>
  <c r="BD159" i="5"/>
  <c r="BD42" i="5"/>
  <c r="BD93" i="12" s="1"/>
  <c r="BD215" i="5"/>
  <c r="BD49" i="5"/>
  <c r="BI76" i="8"/>
  <c r="BI103" i="8"/>
  <c r="BN106" i="8" s="1"/>
  <c r="BI53" i="8"/>
  <c r="BI108" i="8" s="1"/>
  <c r="BI32" i="8"/>
  <c r="BI41" i="8" s="1"/>
  <c r="BJ76" i="8"/>
  <c r="BO79" i="8" s="1"/>
  <c r="BK10" i="8"/>
  <c r="BK76" i="8" s="1"/>
  <c r="BP79" i="8" s="1"/>
  <c r="BJ42" i="5"/>
  <c r="BJ93" i="12" s="1"/>
  <c r="BJ49" i="5"/>
  <c r="BJ109" i="5"/>
  <c r="BJ215" i="5"/>
  <c r="BJ159" i="5"/>
  <c r="BK28" i="8"/>
  <c r="BK110" i="8" s="1"/>
  <c r="BP113" i="8" s="1"/>
  <c r="BJ103" i="8"/>
  <c r="BO106" i="8" s="1"/>
  <c r="BJ53" i="8"/>
  <c r="BJ108" i="8" s="1"/>
  <c r="BK27" i="8"/>
  <c r="BJ32" i="8"/>
  <c r="BJ41" i="8" s="1"/>
  <c r="BI110" i="8"/>
  <c r="BN113" i="8" s="1"/>
  <c r="BI42" i="5"/>
  <c r="BI93" i="12" s="1"/>
  <c r="BI49" i="5"/>
  <c r="BI109" i="5"/>
  <c r="BI215" i="5"/>
  <c r="AZ171" i="5"/>
  <c r="AZ121" i="5"/>
  <c r="AZ67" i="16"/>
  <c r="AZ70" i="16" s="1"/>
  <c r="AZ85" i="16" s="1"/>
  <c r="AZ54" i="5"/>
  <c r="AY117" i="5"/>
  <c r="AY223" i="5"/>
  <c r="AY50" i="5"/>
  <c r="AY167" i="5"/>
  <c r="AZ223" i="5"/>
  <c r="BF106" i="8"/>
  <c r="AO23" i="6"/>
  <c r="AT177" i="5"/>
  <c r="AT71" i="16"/>
  <c r="AT233" i="5"/>
  <c r="AW65" i="8"/>
  <c r="AW69" i="12"/>
  <c r="AT60" i="12"/>
  <c r="AU230" i="5"/>
  <c r="AU59" i="5"/>
  <c r="AU124" i="5"/>
  <c r="AU174" i="5"/>
  <c r="AU63" i="16"/>
  <c r="AU73" i="16" s="1"/>
  <c r="AS65" i="8"/>
  <c r="AS67" i="5"/>
  <c r="AS69" i="12"/>
  <c r="AS70" i="12"/>
  <c r="AS71" i="12"/>
  <c r="AS68" i="5" s="1"/>
  <c r="AS83" i="12"/>
  <c r="AS82" i="12"/>
  <c r="AV171" i="5"/>
  <c r="AV121" i="5"/>
  <c r="AV54" i="5"/>
  <c r="AV67" i="16"/>
  <c r="AV70" i="16" s="1"/>
  <c r="AV56" i="5"/>
  <c r="AT87" i="16"/>
  <c r="AT94" i="16" s="1"/>
  <c r="AT27" i="12"/>
  <c r="AO24" i="6"/>
  <c r="BI78" i="8" l="1"/>
  <c r="BN79" i="8"/>
  <c r="AZ174" i="5"/>
  <c r="BJ114" i="8"/>
  <c r="BI112" i="8"/>
  <c r="BJ78" i="8"/>
  <c r="BI80" i="8"/>
  <c r="BI114" i="8"/>
  <c r="BI106" i="8"/>
  <c r="BO167" i="5"/>
  <c r="BN167" i="5"/>
  <c r="AZ59" i="5"/>
  <c r="AZ124" i="5"/>
  <c r="BD117" i="5"/>
  <c r="AY56" i="5"/>
  <c r="AY124" i="5" s="1"/>
  <c r="BD167" i="5"/>
  <c r="BD223" i="5"/>
  <c r="BE117" i="5"/>
  <c r="BE167" i="5"/>
  <c r="BE50" i="5"/>
  <c r="BE227" i="5"/>
  <c r="BE223" i="5"/>
  <c r="BD50" i="5"/>
  <c r="BI79" i="8"/>
  <c r="BI113" i="8"/>
  <c r="BJ80" i="8"/>
  <c r="BJ79" i="8"/>
  <c r="BK103" i="8"/>
  <c r="BP106" i="8" s="1"/>
  <c r="BK32" i="8"/>
  <c r="BK41" i="8" s="1"/>
  <c r="BI50" i="5"/>
  <c r="BI223" i="5"/>
  <c r="BI117" i="5"/>
  <c r="BJ105" i="8"/>
  <c r="BJ107" i="8"/>
  <c r="BJ106" i="8"/>
  <c r="BJ50" i="5"/>
  <c r="BJ117" i="5"/>
  <c r="BJ223" i="5"/>
  <c r="BJ167" i="5"/>
  <c r="BI167" i="5"/>
  <c r="BI105" i="8"/>
  <c r="BI107" i="8"/>
  <c r="BK113" i="8"/>
  <c r="AZ71" i="16"/>
  <c r="AU71" i="16"/>
  <c r="AU77" i="16"/>
  <c r="AU87" i="16" s="1"/>
  <c r="AY227" i="5"/>
  <c r="AY67" i="16"/>
  <c r="AY70" i="16" s="1"/>
  <c r="AY85" i="16" s="1"/>
  <c r="AY54" i="5"/>
  <c r="AY121" i="5"/>
  <c r="AY171" i="5"/>
  <c r="AZ227" i="5"/>
  <c r="BD56" i="5"/>
  <c r="BD54" i="5"/>
  <c r="BD227" i="5"/>
  <c r="BD67" i="16"/>
  <c r="BD70" i="16" s="1"/>
  <c r="BD171" i="5"/>
  <c r="BD121" i="5"/>
  <c r="AS47" i="8"/>
  <c r="AS49" i="8" s="1"/>
  <c r="AS50" i="8" s="1"/>
  <c r="AS12" i="8"/>
  <c r="AS23" i="8" s="1"/>
  <c r="AS43" i="8" s="1"/>
  <c r="AT58" i="12"/>
  <c r="AT61" i="12" s="1"/>
  <c r="AT63" i="8"/>
  <c r="AT64" i="12"/>
  <c r="AT68" i="12" s="1"/>
  <c r="AT65" i="5"/>
  <c r="AT97" i="16"/>
  <c r="AT98" i="16"/>
  <c r="AT66" i="5" s="1"/>
  <c r="AT96" i="16"/>
  <c r="AT81" i="12"/>
  <c r="AU177" i="5"/>
  <c r="AP23" i="6"/>
  <c r="AU233" i="5"/>
  <c r="AV124" i="5"/>
  <c r="AV59" i="5"/>
  <c r="AV174" i="5"/>
  <c r="AV63" i="16"/>
  <c r="AV73" i="16" s="1"/>
  <c r="AV85" i="16"/>
  <c r="AP24" i="6"/>
  <c r="BN171" i="5" l="1"/>
  <c r="AY59" i="5"/>
  <c r="AT23" i="6" s="1"/>
  <c r="AZ230" i="5"/>
  <c r="AY174" i="5"/>
  <c r="AU23" i="6"/>
  <c r="AY63" i="16"/>
  <c r="AY73" i="16" s="1"/>
  <c r="AY77" i="16" s="1"/>
  <c r="AY230" i="5"/>
  <c r="BO171" i="5"/>
  <c r="AZ177" i="5"/>
  <c r="BE171" i="5"/>
  <c r="BE67" i="16"/>
  <c r="BE70" i="16" s="1"/>
  <c r="BE85" i="16" s="1"/>
  <c r="BE56" i="5"/>
  <c r="BE230" i="5" s="1"/>
  <c r="BE121" i="5"/>
  <c r="BE54" i="5"/>
  <c r="BI67" i="16"/>
  <c r="BI70" i="16" s="1"/>
  <c r="BI54" i="5"/>
  <c r="BI121" i="5"/>
  <c r="BI227" i="5"/>
  <c r="BJ67" i="16"/>
  <c r="BJ70" i="16" s="1"/>
  <c r="BJ54" i="5"/>
  <c r="BJ121" i="5"/>
  <c r="BJ227" i="5"/>
  <c r="BJ171" i="5"/>
  <c r="BK106" i="8"/>
  <c r="BJ56" i="5"/>
  <c r="BI56" i="5"/>
  <c r="BI171" i="5"/>
  <c r="AU74" i="16"/>
  <c r="BD124" i="5"/>
  <c r="BD174" i="5"/>
  <c r="BD63" i="16"/>
  <c r="BD73" i="16" s="1"/>
  <c r="BD230" i="5"/>
  <c r="BD59" i="5"/>
  <c r="BD85" i="16"/>
  <c r="AU60" i="12"/>
  <c r="AV177" i="5"/>
  <c r="AQ23" i="6"/>
  <c r="AU94" i="16"/>
  <c r="AV77" i="16"/>
  <c r="AV71" i="16"/>
  <c r="AT82" i="12"/>
  <c r="AT83" i="12"/>
  <c r="AS45" i="8"/>
  <c r="AS54" i="8" s="1"/>
  <c r="AS51" i="8"/>
  <c r="AT67" i="5"/>
  <c r="AT69" i="12"/>
  <c r="AT71" i="12"/>
  <c r="AT68" i="5" s="1"/>
  <c r="AT70" i="12"/>
  <c r="AT65" i="8"/>
  <c r="AQ24" i="6"/>
  <c r="AU24" i="6"/>
  <c r="AT24" i="6"/>
  <c r="AY233" i="5" l="1"/>
  <c r="AZ233" i="5"/>
  <c r="AY177" i="5"/>
  <c r="AY71" i="16"/>
  <c r="BD77" i="16"/>
  <c r="BD74" i="16" s="1"/>
  <c r="BI174" i="5"/>
  <c r="BN174" i="5"/>
  <c r="BO174" i="5"/>
  <c r="AY74" i="16"/>
  <c r="AY87" i="16"/>
  <c r="AY94" i="16" s="1"/>
  <c r="AY65" i="5" s="1"/>
  <c r="BE63" i="16"/>
  <c r="BE73" i="16" s="1"/>
  <c r="BE77" i="16" s="1"/>
  <c r="BE74" i="16" s="1"/>
  <c r="BE174" i="5"/>
  <c r="BE59" i="5"/>
  <c r="BE124" i="5"/>
  <c r="BJ59" i="5"/>
  <c r="P22" i="25" s="1"/>
  <c r="BJ63" i="16"/>
  <c r="BJ73" i="16" s="1"/>
  <c r="BJ71" i="16" s="1"/>
  <c r="BJ124" i="5"/>
  <c r="BJ230" i="5"/>
  <c r="BJ174" i="5"/>
  <c r="BJ85" i="16"/>
  <c r="BI59" i="5"/>
  <c r="P21" i="25" s="1"/>
  <c r="BI63" i="16"/>
  <c r="BI73" i="16" s="1"/>
  <c r="BI77" i="16" s="1"/>
  <c r="BI124" i="5"/>
  <c r="BI230" i="5"/>
  <c r="BI85" i="16"/>
  <c r="BD71" i="16"/>
  <c r="AU27" i="12"/>
  <c r="AU63" i="8" s="1"/>
  <c r="AV7" i="12"/>
  <c r="AV27" i="12" s="1"/>
  <c r="BD233" i="5"/>
  <c r="AY23" i="6"/>
  <c r="BD177" i="5"/>
  <c r="AV87" i="16"/>
  <c r="AV94" i="16" s="1"/>
  <c r="AV74" i="16"/>
  <c r="AU97" i="16"/>
  <c r="AU96" i="16"/>
  <c r="AU81" i="12"/>
  <c r="AU65" i="5"/>
  <c r="AU98" i="16"/>
  <c r="AU66" i="5" s="1"/>
  <c r="AT47" i="8"/>
  <c r="AT49" i="8" s="1"/>
  <c r="AT50" i="8" s="1"/>
  <c r="AT12" i="8"/>
  <c r="AT23" i="8" s="1"/>
  <c r="AY24" i="6"/>
  <c r="R22" i="25" l="1"/>
  <c r="S22" i="25" s="1"/>
  <c r="E27" i="25"/>
  <c r="R21" i="25"/>
  <c r="S21" i="25" s="1"/>
  <c r="BN177" i="5"/>
  <c r="BE23" i="6"/>
  <c r="BO177" i="5"/>
  <c r="BI233" i="5"/>
  <c r="BD23" i="6"/>
  <c r="AZ23" i="6"/>
  <c r="BE177" i="5"/>
  <c r="BE233" i="5"/>
  <c r="BE71" i="16"/>
  <c r="BI71" i="16"/>
  <c r="BJ77" i="16"/>
  <c r="BI74" i="16"/>
  <c r="BJ233" i="5"/>
  <c r="BJ177" i="5"/>
  <c r="BI177" i="5"/>
  <c r="AU58" i="12"/>
  <c r="AU61" i="12" s="1"/>
  <c r="AW60" i="12" s="1"/>
  <c r="AW61" i="12" s="1"/>
  <c r="AU64" i="12"/>
  <c r="AU68" i="12" s="1"/>
  <c r="AT45" i="8"/>
  <c r="AT54" i="8" s="1"/>
  <c r="AT51" i="8"/>
  <c r="AV98" i="16"/>
  <c r="AV66" i="5" s="1"/>
  <c r="AV65" i="5"/>
  <c r="AV96" i="16"/>
  <c r="AV81" i="12"/>
  <c r="AV82" i="12" s="1"/>
  <c r="AU83" i="12"/>
  <c r="AU82" i="12"/>
  <c r="AV64" i="12"/>
  <c r="AV68" i="12" s="1"/>
  <c r="AV58" i="12"/>
  <c r="AV61" i="12" s="1"/>
  <c r="BA60" i="12" s="1"/>
  <c r="AV63" i="8"/>
  <c r="AZ24" i="6"/>
  <c r="BE24" i="6"/>
  <c r="BD24" i="6"/>
  <c r="BJ74" i="16" l="1"/>
  <c r="AU65" i="8"/>
  <c r="AW70" i="12"/>
  <c r="AU70" i="12"/>
  <c r="AU67" i="5"/>
  <c r="AU71" i="12"/>
  <c r="AU68" i="5" s="1"/>
  <c r="AV7" i="8"/>
  <c r="AU69" i="12"/>
  <c r="AV69" i="12"/>
  <c r="AV71" i="12"/>
  <c r="AV68" i="5" s="1"/>
  <c r="AV67" i="5"/>
  <c r="AV65" i="8"/>
  <c r="AX60" i="12"/>
  <c r="AU47" i="8"/>
  <c r="AU49" i="8" s="1"/>
  <c r="AU50" i="8" s="1"/>
  <c r="AU12" i="8" l="1"/>
  <c r="AU23" i="8" s="1"/>
  <c r="AV43" i="8" s="1"/>
  <c r="AW12" i="8"/>
  <c r="AW23" i="8" s="1"/>
  <c r="AW47" i="8"/>
  <c r="AW49" i="8" s="1"/>
  <c r="AW50" i="8" s="1"/>
  <c r="AV12" i="8"/>
  <c r="AV23" i="8" s="1"/>
  <c r="AV47" i="8"/>
  <c r="AV49" i="8" s="1"/>
  <c r="AV50" i="8" s="1"/>
  <c r="AU51" i="8" l="1"/>
  <c r="AU45" i="8"/>
  <c r="AU54" i="8" s="1"/>
  <c r="AW51" i="8"/>
  <c r="AW45" i="8"/>
  <c r="AW54" i="8" s="1"/>
  <c r="AV45" i="8"/>
  <c r="AV54" i="8" s="1"/>
  <c r="AV51" i="8"/>
  <c r="AR21" i="6" l="1"/>
  <c r="AR22" i="6"/>
  <c r="AW58" i="8" l="1"/>
  <c r="AW85" i="8" s="1"/>
  <c r="AW59" i="8"/>
  <c r="AW77" i="12"/>
  <c r="AX79" i="12" s="1"/>
  <c r="AW34" i="14"/>
  <c r="AW27" i="14" s="1"/>
  <c r="BA9" i="5"/>
  <c r="AW10" i="5"/>
  <c r="AW11" i="5"/>
  <c r="BA14" i="5"/>
  <c r="AW16" i="5"/>
  <c r="AW18" i="5" s="1"/>
  <c r="AW38" i="5"/>
  <c r="AW87" i="5"/>
  <c r="AW89" i="5"/>
  <c r="AW96" i="5"/>
  <c r="AW99" i="5"/>
  <c r="AW102" i="5"/>
  <c r="AW106" i="5"/>
  <c r="AW113" i="5"/>
  <c r="AW114" i="5"/>
  <c r="AW115" i="5"/>
  <c r="AW137" i="5"/>
  <c r="AW120" i="8" s="1"/>
  <c r="AW121" i="8" s="1"/>
  <c r="AW139" i="5"/>
  <c r="AW193" i="5"/>
  <c r="AX193" i="5"/>
  <c r="AW195" i="5"/>
  <c r="AX195" i="5"/>
  <c r="AW34" i="19"/>
  <c r="AW8" i="19" s="1"/>
  <c r="AW69" i="19"/>
  <c r="AW50" i="19" s="1"/>
  <c r="AW8" i="16"/>
  <c r="AW12" i="16" s="1"/>
  <c r="AW131" i="8" s="1"/>
  <c r="AW17" i="16"/>
  <c r="AW21" i="16" s="1"/>
  <c r="AZ26" i="16" s="1"/>
  <c r="AW36" i="16"/>
  <c r="BA68" i="16"/>
  <c r="AW100" i="16"/>
  <c r="AX109" i="16"/>
  <c r="AW89" i="16"/>
  <c r="BA11" i="14" l="1"/>
  <c r="BA9" i="14" s="1"/>
  <c r="I10" i="7"/>
  <c r="AW7" i="5"/>
  <c r="AW136" i="5" s="1"/>
  <c r="AY26" i="16"/>
  <c r="AW26" i="16"/>
  <c r="AX26" i="16"/>
  <c r="AV21" i="6"/>
  <c r="BB17" i="16"/>
  <c r="BB21" i="16" s="1"/>
  <c r="BB102" i="5"/>
  <c r="BB38" i="5"/>
  <c r="BB99" i="5"/>
  <c r="BC193" i="5"/>
  <c r="BB115" i="5"/>
  <c r="BB107" i="16"/>
  <c r="BB174" i="16" s="1"/>
  <c r="BB176" i="16" s="1"/>
  <c r="BB96" i="5"/>
  <c r="BB193" i="5"/>
  <c r="BB113" i="5"/>
  <c r="BB8" i="16"/>
  <c r="BB12" i="16" s="1"/>
  <c r="BB34" i="19"/>
  <c r="BB8" i="19" s="1"/>
  <c r="BF8" i="19" s="1"/>
  <c r="BB100" i="16"/>
  <c r="BB114" i="5"/>
  <c r="AW38" i="16"/>
  <c r="AW42" i="16" s="1"/>
  <c r="BB36" i="16"/>
  <c r="AW79" i="12"/>
  <c r="AW78" i="12"/>
  <c r="AW21" i="6"/>
  <c r="AW71" i="12"/>
  <c r="AW68" i="5" s="1"/>
  <c r="J26" i="7"/>
  <c r="AW105" i="8"/>
  <c r="AW112" i="8"/>
  <c r="AW78" i="8"/>
  <c r="O10" i="7"/>
  <c r="J23" i="7"/>
  <c r="M10" i="7"/>
  <c r="J19" i="7"/>
  <c r="J10" i="7"/>
  <c r="AW71" i="8"/>
  <c r="AW95" i="8"/>
  <c r="AW133" i="8"/>
  <c r="AW134" i="8"/>
  <c r="AW52" i="8"/>
  <c r="AW74" i="8" s="1"/>
  <c r="BB69" i="19"/>
  <c r="BB49" i="19" s="1"/>
  <c r="BB32" i="5"/>
  <c r="BC11" i="5"/>
  <c r="BB137" i="5"/>
  <c r="BB120" i="8" s="1"/>
  <c r="BB121" i="8" s="1"/>
  <c r="BB106" i="5"/>
  <c r="BB27" i="5"/>
  <c r="BB11" i="5"/>
  <c r="BB87" i="5"/>
  <c r="BB22" i="5"/>
  <c r="BA100" i="16"/>
  <c r="BA69" i="19"/>
  <c r="BA106" i="5"/>
  <c r="BA36" i="16"/>
  <c r="BA115" i="5"/>
  <c r="BA17" i="16"/>
  <c r="BA21" i="16" s="1"/>
  <c r="BA114" i="5"/>
  <c r="BA38" i="5"/>
  <c r="BA137" i="5"/>
  <c r="BA120" i="8" s="1"/>
  <c r="BA121" i="8" s="1"/>
  <c r="BA99" i="5"/>
  <c r="BA8" i="16"/>
  <c r="BA12" i="16" s="1"/>
  <c r="BA131" i="8" s="1"/>
  <c r="BA133" i="8" s="1"/>
  <c r="BA96" i="5"/>
  <c r="BA27" i="5"/>
  <c r="BA102" i="5"/>
  <c r="BA113" i="5"/>
  <c r="BA87" i="5"/>
  <c r="BA22" i="5"/>
  <c r="BA107" i="16"/>
  <c r="BA108" i="16" s="1"/>
  <c r="BA32" i="5"/>
  <c r="BA34" i="19"/>
  <c r="AW197" i="5"/>
  <c r="BA139" i="5"/>
  <c r="BA89" i="5"/>
  <c r="BA59" i="8"/>
  <c r="BA16" i="5"/>
  <c r="AW20" i="19"/>
  <c r="AX20" i="19"/>
  <c r="BA8" i="19"/>
  <c r="AW26" i="14"/>
  <c r="AW29" i="14" s="1"/>
  <c r="AW35" i="14"/>
  <c r="AW24" i="16"/>
  <c r="AX24" i="16"/>
  <c r="AW9" i="19"/>
  <c r="AW11" i="19" s="1"/>
  <c r="AW53" i="8"/>
  <c r="AW108" i="8" s="1"/>
  <c r="AW23" i="16"/>
  <c r="AW49" i="19"/>
  <c r="AW52" i="19" s="1"/>
  <c r="AW70" i="19"/>
  <c r="AW91" i="5"/>
  <c r="AW41" i="5"/>
  <c r="AW141" i="5"/>
  <c r="AX197" i="5"/>
  <c r="AW15" i="16"/>
  <c r="AX15" i="16"/>
  <c r="AW26" i="19"/>
  <c r="AW14" i="16"/>
  <c r="BA34" i="14"/>
  <c r="BA10" i="5"/>
  <c r="BB77" i="12"/>
  <c r="BB58" i="8"/>
  <c r="BA77" i="12"/>
  <c r="BA78" i="12" s="1"/>
  <c r="BA58" i="8"/>
  <c r="BA113" i="16"/>
  <c r="BB34" i="14"/>
  <c r="AV22" i="6"/>
  <c r="AW22" i="6"/>
  <c r="BA17" i="14" l="1"/>
  <c r="BB177" i="16"/>
  <c r="BB178" i="16"/>
  <c r="BC178" i="16"/>
  <c r="BE179" i="16"/>
  <c r="BC109" i="16"/>
  <c r="BB162" i="16"/>
  <c r="BB163" i="16" s="1"/>
  <c r="BE26" i="16"/>
  <c r="P10" i="7"/>
  <c r="J21" i="7"/>
  <c r="L10" i="7"/>
  <c r="BG17" i="16"/>
  <c r="BG21" i="16" s="1"/>
  <c r="BG16" i="5"/>
  <c r="AX192" i="5"/>
  <c r="AW192" i="5"/>
  <c r="AW86" i="5"/>
  <c r="BC24" i="16"/>
  <c r="BD26" i="16"/>
  <c r="BC26" i="16"/>
  <c r="BB26" i="16"/>
  <c r="BG107" i="16"/>
  <c r="BG77" i="12"/>
  <c r="BG78" i="12" s="1"/>
  <c r="BG58" i="8"/>
  <c r="BG71" i="8" s="1"/>
  <c r="BG11" i="5"/>
  <c r="BK9" i="5"/>
  <c r="BG38" i="5"/>
  <c r="BG27" i="5"/>
  <c r="BG32" i="5"/>
  <c r="BG100" i="16"/>
  <c r="BG22" i="5"/>
  <c r="BB71" i="8"/>
  <c r="BB95" i="8"/>
  <c r="BB85" i="8"/>
  <c r="BB15" i="16"/>
  <c r="BB131" i="8"/>
  <c r="BC134" i="8" s="1"/>
  <c r="BA7" i="5"/>
  <c r="BA86" i="5" s="1"/>
  <c r="AZ9" i="14"/>
  <c r="BA15" i="14"/>
  <c r="BG8" i="16"/>
  <c r="BG12" i="16" s="1"/>
  <c r="BG36" i="16"/>
  <c r="BH11" i="5"/>
  <c r="BG34" i="14"/>
  <c r="BG69" i="19"/>
  <c r="BB21" i="6"/>
  <c r="BB24" i="16"/>
  <c r="BB9" i="19"/>
  <c r="BC21" i="19" s="1"/>
  <c r="BA21" i="6"/>
  <c r="BB14" i="16"/>
  <c r="BB38" i="16"/>
  <c r="BB42" i="16" s="1"/>
  <c r="BC15" i="16"/>
  <c r="BF58" i="8"/>
  <c r="BF52" i="8" s="1"/>
  <c r="BF74" i="8" s="1"/>
  <c r="M19" i="7"/>
  <c r="P19" i="7"/>
  <c r="BB26" i="19"/>
  <c r="P26" i="7"/>
  <c r="M23" i="7"/>
  <c r="M26" i="7"/>
  <c r="P23" i="7"/>
  <c r="BC20" i="19"/>
  <c r="BB20" i="19"/>
  <c r="BB23" i="16"/>
  <c r="BB7" i="5"/>
  <c r="BA23" i="16"/>
  <c r="BB109" i="16"/>
  <c r="BB116" i="16"/>
  <c r="BB108" i="16"/>
  <c r="BF115" i="5"/>
  <c r="BF10" i="5"/>
  <c r="BF100" i="16"/>
  <c r="BF32" i="5"/>
  <c r="BF87" i="5"/>
  <c r="BF27" i="5"/>
  <c r="BF99" i="5"/>
  <c r="BF106" i="5"/>
  <c r="BF77" i="12"/>
  <c r="BF78" i="12" s="1"/>
  <c r="BF113" i="5"/>
  <c r="BF69" i="19"/>
  <c r="BF114" i="5"/>
  <c r="BF38" i="5"/>
  <c r="BF102" i="5"/>
  <c r="BG102" i="5"/>
  <c r="BG87" i="5"/>
  <c r="BG193" i="5"/>
  <c r="BG99" i="5"/>
  <c r="BG115" i="5"/>
  <c r="BG137" i="5"/>
  <c r="BG120" i="8" s="1"/>
  <c r="BG121" i="8" s="1"/>
  <c r="BG96" i="5"/>
  <c r="BG114" i="5"/>
  <c r="BG113" i="5"/>
  <c r="BG106" i="5"/>
  <c r="BH193" i="5"/>
  <c r="BF17" i="16"/>
  <c r="BF21" i="16" s="1"/>
  <c r="BF96" i="5"/>
  <c r="BF34" i="14"/>
  <c r="BF36" i="16"/>
  <c r="BF34" i="19"/>
  <c r="BF22" i="5"/>
  <c r="BB50" i="19"/>
  <c r="BB52" i="19" s="1"/>
  <c r="BB70" i="19"/>
  <c r="BF137" i="5"/>
  <c r="BF120" i="8" s="1"/>
  <c r="BF121" i="8" s="1"/>
  <c r="BF107" i="16"/>
  <c r="BF8" i="16"/>
  <c r="BF12" i="16" s="1"/>
  <c r="BA38" i="16"/>
  <c r="BA42" i="16" s="1"/>
  <c r="BA14" i="16"/>
  <c r="AW23" i="19"/>
  <c r="AX23" i="19"/>
  <c r="AW29" i="19"/>
  <c r="AW35" i="19"/>
  <c r="BA89" i="16"/>
  <c r="BA64" i="16"/>
  <c r="BA114" i="16"/>
  <c r="BA116" i="16"/>
  <c r="AX134" i="8"/>
  <c r="BA91" i="5"/>
  <c r="BA18" i="5"/>
  <c r="BA141" i="5"/>
  <c r="BA26" i="14"/>
  <c r="BA35" i="14"/>
  <c r="BA27" i="14"/>
  <c r="BF26" i="19"/>
  <c r="BB78" i="12"/>
  <c r="BB79" i="12"/>
  <c r="BC79" i="12"/>
  <c r="BB27" i="14"/>
  <c r="BB26" i="14"/>
  <c r="BB35" i="14"/>
  <c r="AW42" i="5"/>
  <c r="AW159" i="5"/>
  <c r="AW215" i="5"/>
  <c r="AX215" i="5"/>
  <c r="AW49" i="5"/>
  <c r="AW109" i="5"/>
  <c r="BA41" i="5"/>
  <c r="BA49" i="5" s="1"/>
  <c r="BA26" i="19"/>
  <c r="BA71" i="8"/>
  <c r="BA52" i="8"/>
  <c r="BA74" i="8" s="1"/>
  <c r="AW27" i="19"/>
  <c r="BA9" i="19"/>
  <c r="BA27" i="19" s="1"/>
  <c r="AX21" i="19"/>
  <c r="AW21" i="19"/>
  <c r="BA78" i="8"/>
  <c r="BA53" i="8"/>
  <c r="BA108" i="8" s="1"/>
  <c r="BA105" i="8"/>
  <c r="BA112" i="8"/>
  <c r="BA22" i="6"/>
  <c r="BB22" i="6"/>
  <c r="BB181" i="16" l="1"/>
  <c r="BC181" i="16"/>
  <c r="BD181" i="16"/>
  <c r="BE181" i="16"/>
  <c r="BB168" i="16"/>
  <c r="BC168" i="16"/>
  <c r="BD168" i="16"/>
  <c r="BE168" i="16"/>
  <c r="BI26" i="16"/>
  <c r="BH26" i="16"/>
  <c r="BG26" i="16"/>
  <c r="BJ26" i="16"/>
  <c r="BK34" i="14"/>
  <c r="BK27" i="14" s="1"/>
  <c r="BG7" i="5"/>
  <c r="BG136" i="5" s="1"/>
  <c r="BB167" i="16"/>
  <c r="BB166" i="16"/>
  <c r="BC167" i="16"/>
  <c r="BG108" i="16"/>
  <c r="BG174" i="16"/>
  <c r="BG176" i="16" s="1"/>
  <c r="BG162" i="16"/>
  <c r="BG163" i="16" s="1"/>
  <c r="BH24" i="16"/>
  <c r="BG24" i="16"/>
  <c r="BA136" i="5"/>
  <c r="BG15" i="16"/>
  <c r="BG131" i="8"/>
  <c r="BH134" i="8" s="1"/>
  <c r="BG23" i="16"/>
  <c r="M21" i="7"/>
  <c r="P21" i="7"/>
  <c r="BG18" i="5"/>
  <c r="BQ36" i="16"/>
  <c r="BQ137" i="5"/>
  <c r="BQ120" i="8" s="1"/>
  <c r="BQ121" i="8" s="1"/>
  <c r="BQ96" i="5"/>
  <c r="BQ17" i="16"/>
  <c r="BQ21" i="16" s="1"/>
  <c r="BQ193" i="5"/>
  <c r="BQ115" i="5"/>
  <c r="BQ114" i="5"/>
  <c r="BQ100" i="16"/>
  <c r="BQ113" i="5"/>
  <c r="BV78" i="12"/>
  <c r="BQ102" i="5"/>
  <c r="BQ87" i="5"/>
  <c r="BQ107" i="16"/>
  <c r="BQ8" i="16"/>
  <c r="BQ12" i="16" s="1"/>
  <c r="BQ99" i="5"/>
  <c r="BL21" i="6"/>
  <c r="BQ38" i="5"/>
  <c r="BQ106" i="5"/>
  <c r="BR193" i="5"/>
  <c r="BU9" i="5"/>
  <c r="BG79" i="12"/>
  <c r="BH79" i="12"/>
  <c r="BF8" i="14"/>
  <c r="BF9" i="14"/>
  <c r="BG109" i="16"/>
  <c r="BH109" i="16"/>
  <c r="BK69" i="19"/>
  <c r="BK38" i="5"/>
  <c r="BK32" i="5"/>
  <c r="BK22" i="5"/>
  <c r="BK58" i="8"/>
  <c r="BK52" i="8" s="1"/>
  <c r="BK74" i="8" s="1"/>
  <c r="BK10" i="5"/>
  <c r="BK17" i="16"/>
  <c r="BK21" i="16" s="1"/>
  <c r="BK77" i="12"/>
  <c r="BK78" i="12" s="1"/>
  <c r="BK100" i="16"/>
  <c r="AZ11" i="14"/>
  <c r="AZ21" i="14"/>
  <c r="BB21" i="14"/>
  <c r="AZ15" i="14"/>
  <c r="AZ27" i="14"/>
  <c r="AZ29" i="14" s="1"/>
  <c r="BB133" i="8"/>
  <c r="BB134" i="8"/>
  <c r="BK36" i="16"/>
  <c r="BK107" i="16"/>
  <c r="BK108" i="16" s="1"/>
  <c r="BH15" i="16"/>
  <c r="BK27" i="5"/>
  <c r="BK8" i="16"/>
  <c r="BK12" i="16" s="1"/>
  <c r="BK14" i="16" s="1"/>
  <c r="BF21" i="6"/>
  <c r="BG14" i="16"/>
  <c r="BL69" i="19"/>
  <c r="BL44" i="19" s="1"/>
  <c r="BL34" i="14"/>
  <c r="BG50" i="19"/>
  <c r="BG49" i="19"/>
  <c r="BG70" i="19"/>
  <c r="BG27" i="14"/>
  <c r="BG26" i="14"/>
  <c r="BG35" i="14"/>
  <c r="BB136" i="5"/>
  <c r="BL113" i="5"/>
  <c r="BL77" i="12"/>
  <c r="BQ78" i="12" s="1"/>
  <c r="BL107" i="16"/>
  <c r="BL8" i="16"/>
  <c r="BL12" i="16" s="1"/>
  <c r="BL100" i="16"/>
  <c r="BL58" i="8"/>
  <c r="BL36" i="16"/>
  <c r="BL17" i="16"/>
  <c r="BL21" i="16" s="1"/>
  <c r="BL115" i="5"/>
  <c r="BL137" i="5"/>
  <c r="BG21" i="6"/>
  <c r="BL87" i="5"/>
  <c r="BL114" i="5"/>
  <c r="BM11" i="5"/>
  <c r="BM193" i="5"/>
  <c r="BL193" i="5"/>
  <c r="BL11" i="5"/>
  <c r="BP9" i="5"/>
  <c r="BL22" i="5"/>
  <c r="BL96" i="5"/>
  <c r="BL32" i="5"/>
  <c r="BL102" i="5"/>
  <c r="BL27" i="5"/>
  <c r="BL99" i="5"/>
  <c r="BL106" i="5"/>
  <c r="BL38" i="5"/>
  <c r="BF9" i="19"/>
  <c r="BF11" i="19" s="1"/>
  <c r="BB27" i="19"/>
  <c r="BB11" i="19"/>
  <c r="BB29" i="19" s="1"/>
  <c r="BB21" i="19"/>
  <c r="BC115" i="16"/>
  <c r="BB89" i="16"/>
  <c r="BB115" i="16"/>
  <c r="BB64" i="16"/>
  <c r="BF68" i="16" s="1"/>
  <c r="BF113" i="16"/>
  <c r="BF64" i="16" s="1"/>
  <c r="BB114" i="16"/>
  <c r="BF71" i="8"/>
  <c r="BB86" i="5"/>
  <c r="BB192" i="5"/>
  <c r="BC192" i="5"/>
  <c r="BG52" i="8"/>
  <c r="BG74" i="8" s="1"/>
  <c r="BF52" i="19"/>
  <c r="BF70" i="19"/>
  <c r="BG38" i="16"/>
  <c r="BG42" i="16" s="1"/>
  <c r="BF7" i="5"/>
  <c r="BF86" i="5" s="1"/>
  <c r="BF23" i="16"/>
  <c r="BF131" i="8"/>
  <c r="BF108" i="16"/>
  <c r="BK87" i="5"/>
  <c r="BK113" i="5"/>
  <c r="BK137" i="5"/>
  <c r="BK99" i="5"/>
  <c r="BK115" i="5"/>
  <c r="BK96" i="5"/>
  <c r="BK114" i="5"/>
  <c r="BK102" i="5"/>
  <c r="BK106" i="5"/>
  <c r="BF14" i="16"/>
  <c r="BF38" i="16"/>
  <c r="BF42" i="16" s="1"/>
  <c r="BA42" i="5"/>
  <c r="BA159" i="5"/>
  <c r="BA109" i="5"/>
  <c r="BB29" i="14"/>
  <c r="BA11" i="19"/>
  <c r="BB52" i="8"/>
  <c r="BB74" i="8" s="1"/>
  <c r="BA29" i="14"/>
  <c r="AW50" i="5"/>
  <c r="AW56" i="5"/>
  <c r="AW63" i="16" s="1"/>
  <c r="AW73" i="16" s="1"/>
  <c r="AW71" i="16" s="1"/>
  <c r="AW117" i="5"/>
  <c r="AW167" i="5"/>
  <c r="AX223" i="5"/>
  <c r="AW223" i="5"/>
  <c r="BF83" i="8"/>
  <c r="BL22" i="6"/>
  <c r="BG22" i="6"/>
  <c r="BF22" i="6"/>
  <c r="BK23" i="16" l="1"/>
  <c r="BU69" i="19"/>
  <c r="BU70" i="19" s="1"/>
  <c r="BQ174" i="16"/>
  <c r="BQ162" i="16"/>
  <c r="BP44" i="19"/>
  <c r="BU62" i="19" s="1"/>
  <c r="BQ62" i="19"/>
  <c r="BU34" i="14"/>
  <c r="BU35" i="14" s="1"/>
  <c r="BU75" i="5"/>
  <c r="BV108" i="16"/>
  <c r="BQ116" i="16"/>
  <c r="BV14" i="16"/>
  <c r="BQ131" i="8"/>
  <c r="BQ26" i="16"/>
  <c r="BG168" i="16"/>
  <c r="BI168" i="16"/>
  <c r="BH168" i="16"/>
  <c r="BJ168" i="16"/>
  <c r="BG181" i="16"/>
  <c r="BI181" i="16"/>
  <c r="BH181" i="16"/>
  <c r="BJ181" i="16"/>
  <c r="BK35" i="14"/>
  <c r="BL85" i="8"/>
  <c r="BL95" i="8"/>
  <c r="BL162" i="16"/>
  <c r="BL163" i="16" s="1"/>
  <c r="BL174" i="16"/>
  <c r="BL176" i="16" s="1"/>
  <c r="BZ137" i="5"/>
  <c r="BZ10" i="5"/>
  <c r="BV23" i="16"/>
  <c r="BV26" i="16"/>
  <c r="BX26" i="16"/>
  <c r="BY26" i="16"/>
  <c r="BW26" i="16"/>
  <c r="BQ16" i="5"/>
  <c r="BV139" i="5"/>
  <c r="BL16" i="5"/>
  <c r="M12" i="7"/>
  <c r="BS26" i="16"/>
  <c r="BR26" i="16"/>
  <c r="BT26" i="16"/>
  <c r="BM26" i="16"/>
  <c r="BN26" i="16"/>
  <c r="BO26" i="16"/>
  <c r="BG86" i="5"/>
  <c r="BK26" i="14"/>
  <c r="BK29" i="14" s="1"/>
  <c r="BH192" i="5"/>
  <c r="BG192" i="5"/>
  <c r="BG166" i="16"/>
  <c r="BG167" i="16"/>
  <c r="BH167" i="16"/>
  <c r="BG177" i="16"/>
  <c r="BG179" i="16"/>
  <c r="BG178" i="16"/>
  <c r="BH179" i="16"/>
  <c r="BH178" i="16"/>
  <c r="BI179" i="16"/>
  <c r="BJ179" i="16"/>
  <c r="BG134" i="8"/>
  <c r="BG133" i="8"/>
  <c r="BQ139" i="5"/>
  <c r="BQ195" i="5"/>
  <c r="BQ18" i="5"/>
  <c r="BQ89" i="5"/>
  <c r="BR195" i="5"/>
  <c r="BU14" i="5"/>
  <c r="BU10" i="5"/>
  <c r="BU77" i="12"/>
  <c r="BZ78" i="12" s="1"/>
  <c r="BU107" i="16"/>
  <c r="BZ108" i="16" s="1"/>
  <c r="BU8" i="16"/>
  <c r="BU12" i="16" s="1"/>
  <c r="BZ14" i="16" s="1"/>
  <c r="BP21" i="6"/>
  <c r="BU36" i="16"/>
  <c r="BU58" i="8"/>
  <c r="BU17" i="16"/>
  <c r="BU100" i="16"/>
  <c r="BU87" i="5"/>
  <c r="BU113" i="5"/>
  <c r="BU137" i="5"/>
  <c r="BU96" i="5"/>
  <c r="BU22" i="5"/>
  <c r="BU115" i="5"/>
  <c r="BU27" i="5"/>
  <c r="BU99" i="5"/>
  <c r="BU102" i="5"/>
  <c r="BU114" i="5"/>
  <c r="BU32" i="5"/>
  <c r="BU38" i="5"/>
  <c r="BU106" i="5"/>
  <c r="BQ14" i="16"/>
  <c r="BQ15" i="16"/>
  <c r="BR15" i="16"/>
  <c r="BQ108" i="16"/>
  <c r="BQ109" i="16"/>
  <c r="BV114" i="16"/>
  <c r="BR109" i="16"/>
  <c r="BQ38" i="16"/>
  <c r="BQ42" i="16" s="1"/>
  <c r="J12" i="7"/>
  <c r="L12" i="7"/>
  <c r="O12" i="7"/>
  <c r="I12" i="7"/>
  <c r="BR79" i="12"/>
  <c r="BQ23" i="16"/>
  <c r="BQ24" i="16"/>
  <c r="BQ7" i="5"/>
  <c r="BR24" i="16"/>
  <c r="BG89" i="16"/>
  <c r="BG64" i="16"/>
  <c r="BG68" i="16" s="1"/>
  <c r="BK68" i="16" s="1"/>
  <c r="BK113" i="16"/>
  <c r="BK89" i="16" s="1"/>
  <c r="BG116" i="16"/>
  <c r="BG115" i="16"/>
  <c r="BH115" i="16"/>
  <c r="BE9" i="14"/>
  <c r="BK15" i="14"/>
  <c r="BF15" i="14"/>
  <c r="BG114" i="16"/>
  <c r="BE8" i="14"/>
  <c r="BK14" i="14"/>
  <c r="BF11" i="14"/>
  <c r="BF14" i="14"/>
  <c r="BC23" i="19"/>
  <c r="BB23" i="19"/>
  <c r="BB35" i="19"/>
  <c r="BK71" i="8"/>
  <c r="BK7" i="5"/>
  <c r="BK136" i="5" s="1"/>
  <c r="BG52" i="19"/>
  <c r="AZ23" i="14"/>
  <c r="BB23" i="14"/>
  <c r="AZ35" i="14"/>
  <c r="AZ17" i="14"/>
  <c r="BK131" i="8"/>
  <c r="BK133" i="8" s="1"/>
  <c r="BG29" i="14"/>
  <c r="BP34" i="14"/>
  <c r="BP9" i="14" s="1"/>
  <c r="BP69" i="19"/>
  <c r="BL26" i="14"/>
  <c r="BL27" i="14"/>
  <c r="BL35" i="14"/>
  <c r="BL49" i="19"/>
  <c r="BP17" i="16"/>
  <c r="BP21" i="16" s="1"/>
  <c r="BP100" i="16"/>
  <c r="BP107" i="16"/>
  <c r="BP108" i="16" s="1"/>
  <c r="BP77" i="12"/>
  <c r="BP78" i="12" s="1"/>
  <c r="BP58" i="8"/>
  <c r="BP36" i="16"/>
  <c r="BP8" i="16"/>
  <c r="BP12" i="16" s="1"/>
  <c r="BP113" i="5"/>
  <c r="BP114" i="5"/>
  <c r="BP87" i="5"/>
  <c r="BP115" i="5"/>
  <c r="BK21" i="6"/>
  <c r="BP96" i="5"/>
  <c r="BP22" i="5"/>
  <c r="BP32" i="5"/>
  <c r="BP102" i="5"/>
  <c r="BP27" i="5"/>
  <c r="BP99" i="5"/>
  <c r="BP38" i="5"/>
  <c r="BP106" i="5"/>
  <c r="BP137" i="5"/>
  <c r="BP10" i="5"/>
  <c r="BL131" i="8"/>
  <c r="BL15" i="16"/>
  <c r="BM15" i="16"/>
  <c r="BL14" i="16"/>
  <c r="BL108" i="16"/>
  <c r="BL109" i="16"/>
  <c r="BM109" i="16"/>
  <c r="BL38" i="16"/>
  <c r="BL42" i="16" s="1"/>
  <c r="BL120" i="8"/>
  <c r="BL121" i="8" s="1"/>
  <c r="BL78" i="12"/>
  <c r="BL79" i="12"/>
  <c r="BM79" i="12"/>
  <c r="BL24" i="16"/>
  <c r="BM24" i="16"/>
  <c r="BL7" i="5"/>
  <c r="BL23" i="16"/>
  <c r="BL59" i="8"/>
  <c r="BL112" i="8" s="1"/>
  <c r="BL89" i="5"/>
  <c r="BL18" i="5"/>
  <c r="BL139" i="5"/>
  <c r="BM195" i="5"/>
  <c r="BL195" i="5"/>
  <c r="BP14" i="5"/>
  <c r="BF27" i="19"/>
  <c r="BF89" i="16"/>
  <c r="BF116" i="16"/>
  <c r="BF114" i="16"/>
  <c r="BF29" i="14"/>
  <c r="BF136" i="5"/>
  <c r="BK120" i="8"/>
  <c r="BK121" i="8" s="1"/>
  <c r="BK38" i="16"/>
  <c r="BK42" i="16" s="1"/>
  <c r="BF133" i="8"/>
  <c r="BF85" i="8"/>
  <c r="BB38" i="12"/>
  <c r="BB65" i="12"/>
  <c r="BA50" i="5"/>
  <c r="BA117" i="5"/>
  <c r="BA167" i="5"/>
  <c r="BA29" i="19"/>
  <c r="BA35" i="19"/>
  <c r="AW59" i="5"/>
  <c r="AW124" i="5"/>
  <c r="AW174" i="5"/>
  <c r="AX230" i="5"/>
  <c r="AW230" i="5"/>
  <c r="BF29" i="19"/>
  <c r="BF35" i="19"/>
  <c r="AW54" i="5"/>
  <c r="AW121" i="5"/>
  <c r="AW171" i="5"/>
  <c r="AW227" i="5"/>
  <c r="AX227" i="5"/>
  <c r="BA53" i="5"/>
  <c r="BA56" i="5" s="1"/>
  <c r="BK22" i="6"/>
  <c r="BP22" i="6"/>
  <c r="BV133" i="8" l="1"/>
  <c r="BR134" i="8"/>
  <c r="BO9" i="14"/>
  <c r="BO27" i="14" s="1"/>
  <c r="BU15" i="14"/>
  <c r="BL197" i="5"/>
  <c r="BV141" i="5"/>
  <c r="BV136" i="5"/>
  <c r="I8" i="7"/>
  <c r="BQ134" i="8"/>
  <c r="BQ133" i="8"/>
  <c r="BU21" i="16"/>
  <c r="BJ183" i="16"/>
  <c r="BJ182" i="16"/>
  <c r="BH183" i="16"/>
  <c r="BH182" i="16"/>
  <c r="BI182" i="16"/>
  <c r="BI183" i="16"/>
  <c r="BG183" i="16"/>
  <c r="BG182" i="16"/>
  <c r="BG197" i="16"/>
  <c r="BG187" i="16"/>
  <c r="BG192" i="16"/>
  <c r="BL168" i="16"/>
  <c r="BM168" i="16"/>
  <c r="BN168" i="16"/>
  <c r="BH197" i="16"/>
  <c r="BH192" i="16"/>
  <c r="BH187" i="16"/>
  <c r="BI197" i="16"/>
  <c r="BI192" i="16"/>
  <c r="BI187" i="16"/>
  <c r="BJ187" i="16"/>
  <c r="BJ197" i="16"/>
  <c r="BJ192" i="16"/>
  <c r="BL181" i="16"/>
  <c r="BM181" i="16"/>
  <c r="BN181" i="16"/>
  <c r="BL91" i="5"/>
  <c r="BM197" i="5"/>
  <c r="BL141" i="5"/>
  <c r="BL41" i="5"/>
  <c r="BQ91" i="5"/>
  <c r="BR197" i="5"/>
  <c r="BL179" i="16"/>
  <c r="BL177" i="16"/>
  <c r="BL178" i="16"/>
  <c r="BM179" i="16"/>
  <c r="BM178" i="16"/>
  <c r="BN179" i="16"/>
  <c r="BL167" i="16"/>
  <c r="BL166" i="16"/>
  <c r="BM167" i="16"/>
  <c r="BU16" i="5"/>
  <c r="BZ139" i="5"/>
  <c r="BQ41" i="5"/>
  <c r="BQ197" i="5"/>
  <c r="BQ141" i="5"/>
  <c r="BZ38" i="16"/>
  <c r="BZ42" i="16" s="1"/>
  <c r="BZ120" i="8"/>
  <c r="BZ121" i="8" s="1"/>
  <c r="P12" i="7"/>
  <c r="BK116" i="16"/>
  <c r="BK114" i="16"/>
  <c r="BK64" i="16"/>
  <c r="J14" i="7"/>
  <c r="M14" i="7"/>
  <c r="P14" i="7"/>
  <c r="I14" i="7"/>
  <c r="O14" i="7"/>
  <c r="L14" i="7"/>
  <c r="BU52" i="8"/>
  <c r="BU74" i="8" s="1"/>
  <c r="BU71" i="8"/>
  <c r="BQ52" i="8"/>
  <c r="BQ74" i="8" s="1"/>
  <c r="BV72" i="8"/>
  <c r="BQ136" i="5"/>
  <c r="BQ86" i="5"/>
  <c r="BQ192" i="5"/>
  <c r="BR192" i="5"/>
  <c r="BU113" i="16"/>
  <c r="BZ114" i="16" s="1"/>
  <c r="BQ89" i="16"/>
  <c r="BR115" i="16"/>
  <c r="BU89" i="5"/>
  <c r="BU139" i="5"/>
  <c r="BU59" i="8"/>
  <c r="BU120" i="8"/>
  <c r="BU121" i="8" s="1"/>
  <c r="BU38" i="16"/>
  <c r="BU42" i="16" s="1"/>
  <c r="BU14" i="16"/>
  <c r="BU131" i="8"/>
  <c r="BZ133" i="8" s="1"/>
  <c r="BU108" i="16"/>
  <c r="BU78" i="12"/>
  <c r="BE15" i="14"/>
  <c r="BE21" i="14"/>
  <c r="BE27" i="14"/>
  <c r="BE14" i="14"/>
  <c r="BE20" i="14"/>
  <c r="BE26" i="14"/>
  <c r="BK17" i="14"/>
  <c r="BF17" i="14"/>
  <c r="BF35" i="14"/>
  <c r="BJ14" i="14"/>
  <c r="BG20" i="14"/>
  <c r="BK86" i="5"/>
  <c r="BL29" i="14"/>
  <c r="BP59" i="8"/>
  <c r="BP89" i="5"/>
  <c r="BL52" i="8"/>
  <c r="BL74" i="8" s="1"/>
  <c r="BL69" i="8"/>
  <c r="BQ72" i="8" s="1"/>
  <c r="BP131" i="8"/>
  <c r="BP133" i="8" s="1"/>
  <c r="BP14" i="16"/>
  <c r="BP38" i="16"/>
  <c r="BP42" i="16" s="1"/>
  <c r="BP120" i="8"/>
  <c r="BP121" i="8" s="1"/>
  <c r="BL134" i="8"/>
  <c r="BM134" i="8"/>
  <c r="BL133" i="8"/>
  <c r="BP16" i="5"/>
  <c r="BP52" i="8"/>
  <c r="BP74" i="8" s="1"/>
  <c r="BP71" i="8"/>
  <c r="BL86" i="5"/>
  <c r="BM192" i="5"/>
  <c r="BL192" i="5"/>
  <c r="BL136" i="5"/>
  <c r="BL115" i="16"/>
  <c r="BL89" i="16"/>
  <c r="BL64" i="16"/>
  <c r="BP68" i="16" s="1"/>
  <c r="BL116" i="16"/>
  <c r="BL114" i="16"/>
  <c r="BP113" i="16"/>
  <c r="BM115" i="16"/>
  <c r="BP7" i="5"/>
  <c r="BP23" i="16"/>
  <c r="BF65" i="12"/>
  <c r="AW77" i="16"/>
  <c r="AW74" i="16" s="1"/>
  <c r="AR23" i="6"/>
  <c r="AW177" i="5"/>
  <c r="AW233" i="5"/>
  <c r="AX233" i="5"/>
  <c r="BA59" i="5"/>
  <c r="BA63" i="16"/>
  <c r="BA73" i="16" s="1"/>
  <c r="BA124" i="5"/>
  <c r="BA174" i="5"/>
  <c r="BA54" i="5"/>
  <c r="BA121" i="5"/>
  <c r="BA171" i="5"/>
  <c r="BA67" i="16"/>
  <c r="BA70" i="16" s="1"/>
  <c r="AR24" i="6"/>
  <c r="BZ141" i="5" l="1"/>
  <c r="BZ23" i="16"/>
  <c r="BU23" i="16"/>
  <c r="O8" i="7"/>
  <c r="BO15" i="14"/>
  <c r="P8" i="7"/>
  <c r="BO21" i="14"/>
  <c r="J8" i="7"/>
  <c r="L8" i="7"/>
  <c r="M8" i="7"/>
  <c r="BP41" i="5"/>
  <c r="BP90" i="12" s="1"/>
  <c r="BL90" i="12"/>
  <c r="BV159" i="5"/>
  <c r="BQ90" i="12"/>
  <c r="BQ21" i="14"/>
  <c r="BT15" i="14"/>
  <c r="BI200" i="16"/>
  <c r="BU7" i="5"/>
  <c r="BZ136" i="5" s="1"/>
  <c r="BI195" i="16"/>
  <c r="BJ190" i="16"/>
  <c r="BH195" i="16"/>
  <c r="BJ195" i="16"/>
  <c r="BH200" i="16"/>
  <c r="BH190" i="16"/>
  <c r="BJ200" i="16"/>
  <c r="BI190" i="16"/>
  <c r="BN182" i="16"/>
  <c r="BN183" i="16"/>
  <c r="BM182" i="16"/>
  <c r="BM183" i="16"/>
  <c r="BL183" i="16"/>
  <c r="BL182" i="16"/>
  <c r="BU91" i="5"/>
  <c r="BN192" i="16"/>
  <c r="BN197" i="16"/>
  <c r="BN187" i="16"/>
  <c r="BM197" i="16"/>
  <c r="BM199" i="16" s="1"/>
  <c r="BM192" i="16"/>
  <c r="BM187" i="16"/>
  <c r="BL109" i="5"/>
  <c r="BL192" i="16"/>
  <c r="BL197" i="16"/>
  <c r="BL187" i="16"/>
  <c r="BL42" i="5"/>
  <c r="BL93" i="12" s="1"/>
  <c r="BM215" i="5"/>
  <c r="BL49" i="5"/>
  <c r="BL117" i="5" s="1"/>
  <c r="BU141" i="5"/>
  <c r="BL215" i="5"/>
  <c r="BU18" i="5"/>
  <c r="BR215" i="5"/>
  <c r="BU41" i="5"/>
  <c r="BQ215" i="5"/>
  <c r="BQ159" i="5"/>
  <c r="BQ109" i="5"/>
  <c r="BQ49" i="5"/>
  <c r="BQ50" i="5" s="1"/>
  <c r="BQ42" i="5"/>
  <c r="BQ93" i="12" s="1"/>
  <c r="BU133" i="8"/>
  <c r="P15" i="7"/>
  <c r="I15" i="7"/>
  <c r="M15" i="7"/>
  <c r="O15" i="7"/>
  <c r="L15" i="7"/>
  <c r="J15" i="7"/>
  <c r="BQ32" i="8"/>
  <c r="BQ41" i="8" s="1"/>
  <c r="BQ53" i="8"/>
  <c r="BQ108" i="8" s="1"/>
  <c r="BV106" i="8"/>
  <c r="BV79" i="8"/>
  <c r="BQ65" i="12"/>
  <c r="BQ38" i="12"/>
  <c r="BV113" i="8"/>
  <c r="BU18" i="12"/>
  <c r="BU116" i="16"/>
  <c r="BU114" i="16"/>
  <c r="BU64" i="16"/>
  <c r="BU89" i="16"/>
  <c r="BU53" i="8"/>
  <c r="BU108" i="8" s="1"/>
  <c r="BU112" i="8"/>
  <c r="BU78" i="8"/>
  <c r="BU105" i="8"/>
  <c r="P28" i="7"/>
  <c r="O28" i="7"/>
  <c r="M28" i="7"/>
  <c r="L28" i="7"/>
  <c r="J28" i="7"/>
  <c r="I28" i="7"/>
  <c r="BP52" i="19"/>
  <c r="BP18" i="5"/>
  <c r="BP91" i="5"/>
  <c r="BL76" i="8"/>
  <c r="BP114" i="16"/>
  <c r="BP89" i="16"/>
  <c r="BP64" i="16"/>
  <c r="BP116" i="16"/>
  <c r="BL103" i="8"/>
  <c r="BQ106" i="8" s="1"/>
  <c r="BL53" i="8"/>
  <c r="BL108" i="8" s="1"/>
  <c r="BL32" i="8"/>
  <c r="BL41" i="8" s="1"/>
  <c r="BL71" i="8"/>
  <c r="BL72" i="8"/>
  <c r="BL73" i="8"/>
  <c r="BM73" i="8"/>
  <c r="BL65" i="12"/>
  <c r="BL38" i="12"/>
  <c r="BP86" i="5"/>
  <c r="BP136" i="5"/>
  <c r="BP112" i="8"/>
  <c r="BP78" i="8"/>
  <c r="BP105" i="8"/>
  <c r="BP53" i="8"/>
  <c r="BP108" i="8" s="1"/>
  <c r="AV23" i="6"/>
  <c r="BA177" i="5"/>
  <c r="BA71" i="16"/>
  <c r="BA85" i="16"/>
  <c r="BA77" i="16"/>
  <c r="BA74" i="16" s="1"/>
  <c r="AV24" i="6"/>
  <c r="BP109" i="5" l="1"/>
  <c r="BP49" i="5"/>
  <c r="BP117" i="5" s="1"/>
  <c r="BP42" i="5"/>
  <c r="BP93" i="12" s="1"/>
  <c r="BL78" i="8"/>
  <c r="BQ79" i="8"/>
  <c r="BU136" i="5"/>
  <c r="BU86" i="5"/>
  <c r="BZ159" i="5"/>
  <c r="BU90" i="12"/>
  <c r="BL223" i="5"/>
  <c r="BM223" i="5"/>
  <c r="BM189" i="16"/>
  <c r="BM190" i="16"/>
  <c r="BM195" i="16"/>
  <c r="BM194" i="16"/>
  <c r="BL190" i="16"/>
  <c r="BL189" i="16"/>
  <c r="BL199" i="16"/>
  <c r="BL200" i="16"/>
  <c r="BL194" i="16"/>
  <c r="BL195" i="16"/>
  <c r="BN190" i="16"/>
  <c r="BN189" i="16"/>
  <c r="BN200" i="16"/>
  <c r="BN199" i="16"/>
  <c r="BN194" i="16"/>
  <c r="BN195" i="16"/>
  <c r="BM200" i="16"/>
  <c r="BL50" i="5"/>
  <c r="BU159" i="5"/>
  <c r="BU109" i="5"/>
  <c r="BU42" i="5"/>
  <c r="BU93" i="12" s="1"/>
  <c r="BU49" i="5"/>
  <c r="BZ167" i="5" s="1"/>
  <c r="BV171" i="5"/>
  <c r="BR223" i="5"/>
  <c r="BQ223" i="5"/>
  <c r="BQ117" i="5"/>
  <c r="BV167" i="5"/>
  <c r="BQ167" i="5"/>
  <c r="BU21" i="12"/>
  <c r="BU19" i="12"/>
  <c r="M29" i="7"/>
  <c r="J29" i="7"/>
  <c r="I29" i="7"/>
  <c r="O29" i="7"/>
  <c r="P29" i="7"/>
  <c r="L29" i="7"/>
  <c r="L37" i="7"/>
  <c r="O37" i="7"/>
  <c r="J37" i="7"/>
  <c r="M37" i="7"/>
  <c r="P37" i="7"/>
  <c r="I37" i="7"/>
  <c r="BU22" i="12"/>
  <c r="BL80" i="8"/>
  <c r="BM80" i="8"/>
  <c r="BL56" i="5"/>
  <c r="BL67" i="16"/>
  <c r="BL70" i="16" s="1"/>
  <c r="BL54" i="5"/>
  <c r="BL121" i="5"/>
  <c r="BM227" i="5"/>
  <c r="BP53" i="5"/>
  <c r="BL227" i="5"/>
  <c r="BL114" i="8"/>
  <c r="BM114" i="8"/>
  <c r="BL107" i="8"/>
  <c r="BL105" i="8"/>
  <c r="BM107" i="8"/>
  <c r="BP50" i="5" l="1"/>
  <c r="BQ227" i="5"/>
  <c r="BQ121" i="5"/>
  <c r="BQ171" i="5"/>
  <c r="BQ67" i="16"/>
  <c r="BQ56" i="5"/>
  <c r="BV174" i="5" s="1"/>
  <c r="BU50" i="5"/>
  <c r="BU117" i="5"/>
  <c r="BU167" i="5"/>
  <c r="BR227" i="5"/>
  <c r="BU53" i="5"/>
  <c r="BZ171" i="5" s="1"/>
  <c r="BQ54" i="5"/>
  <c r="M38" i="7"/>
  <c r="P38" i="7"/>
  <c r="I38" i="7"/>
  <c r="L38" i="7"/>
  <c r="O38" i="7"/>
  <c r="J38" i="7"/>
  <c r="BL63" i="16"/>
  <c r="BL73" i="16" s="1"/>
  <c r="BL71" i="16" s="1"/>
  <c r="BL124" i="5"/>
  <c r="BL59" i="5"/>
  <c r="BM230" i="5"/>
  <c r="BL230" i="5"/>
  <c r="BL85" i="16"/>
  <c r="BP56" i="5"/>
  <c r="BP59" i="5" s="1"/>
  <c r="BP67" i="16"/>
  <c r="BP70" i="16" s="1"/>
  <c r="BP54" i="5"/>
  <c r="BP121" i="5"/>
  <c r="P23" i="25" l="1"/>
  <c r="R23" i="25" s="1"/>
  <c r="S23" i="25" s="1"/>
  <c r="BQ174" i="5"/>
  <c r="BQ230" i="5"/>
  <c r="BQ124" i="5"/>
  <c r="BR230" i="5"/>
  <c r="BQ59" i="5"/>
  <c r="BU56" i="5"/>
  <c r="BU121" i="5"/>
  <c r="BU171" i="5"/>
  <c r="BQ63" i="16"/>
  <c r="BU54" i="5"/>
  <c r="BU67" i="16"/>
  <c r="BG23" i="6"/>
  <c r="BM233" i="5"/>
  <c r="BL233" i="5"/>
  <c r="BP63" i="16"/>
  <c r="BP73" i="16" s="1"/>
  <c r="BP71" i="16" s="1"/>
  <c r="BP124" i="5"/>
  <c r="BP85" i="16"/>
  <c r="BL77" i="16"/>
  <c r="BL74" i="16" s="1"/>
  <c r="BG24" i="6"/>
  <c r="P27" i="25" l="1"/>
  <c r="J48" i="7"/>
  <c r="I48" i="7"/>
  <c r="BZ174" i="5"/>
  <c r="BU59" i="5"/>
  <c r="BV177" i="5"/>
  <c r="BL23" i="6"/>
  <c r="BR233" i="5"/>
  <c r="BQ177" i="5"/>
  <c r="BQ233" i="5"/>
  <c r="BU124" i="5"/>
  <c r="BU174" i="5"/>
  <c r="BU63" i="16"/>
  <c r="BK23" i="6"/>
  <c r="BP77" i="16"/>
  <c r="BP74" i="16" s="1"/>
  <c r="BL24" i="6"/>
  <c r="BK24" i="6"/>
  <c r="R27" i="25" l="1"/>
  <c r="G33" i="25" s="1"/>
  <c r="BZ177" i="5"/>
  <c r="BU177" i="5"/>
  <c r="BP23" i="6"/>
  <c r="BP24" i="6"/>
  <c r="S27" i="25" l="1"/>
  <c r="G34" i="25" s="1"/>
  <c r="BF15" i="8"/>
  <c r="AW96" i="8"/>
  <c r="BK82" i="8" l="1"/>
  <c r="BH82" i="8"/>
  <c r="AW98" i="8"/>
  <c r="AW97" i="8"/>
  <c r="AY93" i="8" l="1"/>
  <c r="BI82" i="8" l="1"/>
  <c r="BI87" i="8" s="1"/>
  <c r="AX47" i="8" l="1"/>
  <c r="AX49" i="8" s="1"/>
  <c r="AX50" i="8" s="1"/>
  <c r="AX12" i="8"/>
  <c r="AX23" i="8" s="1"/>
  <c r="BJ82" i="8" l="1"/>
  <c r="BJ87" i="8" s="1"/>
  <c r="AX51" i="8"/>
  <c r="AX45" i="8"/>
  <c r="AX54" i="8" s="1"/>
  <c r="BK15" i="8" l="1"/>
  <c r="BP82" i="8" s="1"/>
  <c r="AW87" i="16" l="1"/>
  <c r="AW94" i="16" s="1"/>
  <c r="AW65" i="5" s="1"/>
  <c r="AW98" i="16" l="1"/>
  <c r="AW66" i="5" s="1"/>
  <c r="AW96" i="16"/>
  <c r="AW81" i="12"/>
  <c r="AW97" i="16"/>
  <c r="AW82" i="12" l="1"/>
  <c r="AW83" i="12"/>
  <c r="AW90" i="8" l="1"/>
  <c r="AW88" i="8" s="1"/>
  <c r="AX27" i="12"/>
  <c r="AX86" i="8"/>
  <c r="AX63" i="8" l="1"/>
  <c r="AX58" i="12"/>
  <c r="AX61" i="12" s="1"/>
  <c r="AY60" i="12" s="1"/>
  <c r="AX64" i="12"/>
  <c r="AX68" i="12" s="1"/>
  <c r="AX67" i="5" s="1"/>
  <c r="AX90" i="8"/>
  <c r="AX88" i="8" s="1"/>
  <c r="AX87" i="8"/>
  <c r="AX69" i="12" l="1"/>
  <c r="AX71" i="12"/>
  <c r="AX68" i="5" s="1"/>
  <c r="AX70" i="12"/>
  <c r="AX65" i="8"/>
  <c r="AX96" i="8"/>
  <c r="AX98" i="8" s="1"/>
  <c r="AX97" i="8" l="1"/>
  <c r="AX87" i="16"/>
  <c r="AX94" i="16" s="1"/>
  <c r="AX65" i="5" s="1"/>
  <c r="AX96" i="16" l="1"/>
  <c r="AX97" i="16"/>
  <c r="AX98" i="16"/>
  <c r="AX66" i="5" s="1"/>
  <c r="AX81" i="12"/>
  <c r="AX83" i="12" l="1"/>
  <c r="AX82" i="12"/>
  <c r="AY47" i="8" l="1"/>
  <c r="AY49" i="8" s="1"/>
  <c r="AY50" i="8" s="1"/>
  <c r="AY12" i="8"/>
  <c r="AY23" i="8" s="1"/>
  <c r="AY51" i="8" l="1"/>
  <c r="AY45" i="8"/>
  <c r="AY54" i="8" s="1"/>
  <c r="AY27" i="12" l="1"/>
  <c r="AY64" i="12" s="1"/>
  <c r="AY63" i="8" l="1"/>
  <c r="AY94" i="8"/>
  <c r="BA94" i="8" s="1"/>
  <c r="AY65" i="12"/>
  <c r="AY68" i="12" s="1"/>
  <c r="AY67" i="5" s="1"/>
  <c r="AY38" i="12"/>
  <c r="AY58" i="12" l="1"/>
  <c r="AY61" i="12" s="1"/>
  <c r="AZ60" i="12" s="1"/>
  <c r="AZ38" i="12"/>
  <c r="AY69" i="12"/>
  <c r="AY71" i="12"/>
  <c r="AY68" i="5" s="1"/>
  <c r="AY65" i="8"/>
  <c r="AY70" i="12"/>
  <c r="BA95" i="8"/>
  <c r="AY95" i="8"/>
  <c r="BA65" i="12" l="1"/>
  <c r="AY96" i="8"/>
  <c r="AY100" i="8" s="1"/>
  <c r="AY97" i="8" l="1"/>
  <c r="AY98" i="8"/>
  <c r="BA18" i="8" l="1"/>
  <c r="BC93" i="8" s="1"/>
  <c r="BF93" i="8" l="1"/>
  <c r="AZ47" i="8" l="1"/>
  <c r="AZ49" i="8" s="1"/>
  <c r="AZ50" i="8" s="1"/>
  <c r="AZ12" i="8"/>
  <c r="AZ23" i="8" s="1"/>
  <c r="AZ43" i="8" s="1"/>
  <c r="BA7" i="8"/>
  <c r="AZ45" i="8" l="1"/>
  <c r="AZ54" i="8" s="1"/>
  <c r="AZ51" i="8"/>
  <c r="BA43" i="8"/>
  <c r="BA12" i="8"/>
  <c r="BA23" i="8" s="1"/>
  <c r="BA47" i="8"/>
  <c r="BA49" i="8" s="1"/>
  <c r="BA50" i="8" s="1"/>
  <c r="BA51" i="8" l="1"/>
  <c r="BA45" i="8"/>
  <c r="BA54" i="8" s="1"/>
  <c r="AY98" i="16" l="1"/>
  <c r="AY66" i="5" s="1"/>
  <c r="AY96" i="16"/>
  <c r="AY97" i="16"/>
  <c r="AY81" i="12"/>
  <c r="AY83" i="12" s="1"/>
  <c r="AY86" i="8"/>
  <c r="AY87" i="8" s="1"/>
  <c r="AY82" i="12" l="1"/>
  <c r="AY90" i="8"/>
  <c r="AY88" i="8" s="1"/>
  <c r="AZ9" i="12" l="1"/>
  <c r="AZ10" i="12"/>
  <c r="AZ13" i="12"/>
  <c r="AZ17" i="12"/>
  <c r="AZ21" i="12"/>
  <c r="AZ18" i="12"/>
  <c r="AZ19" i="12"/>
  <c r="AZ22" i="12"/>
  <c r="AZ23" i="12"/>
  <c r="AZ30" i="12"/>
  <c r="AZ31" i="12"/>
  <c r="AZ42" i="12"/>
  <c r="AZ46" i="12"/>
  <c r="AZ47" i="12"/>
  <c r="AZ66" i="12" s="1"/>
  <c r="BA66" i="12"/>
  <c r="AZ51" i="12"/>
  <c r="BA61" i="12"/>
  <c r="BF60" i="12" s="1"/>
  <c r="BA63" i="8"/>
  <c r="BA64" i="12"/>
  <c r="BA68" i="12" l="1"/>
  <c r="AZ65" i="12"/>
  <c r="BA83" i="8"/>
  <c r="BA71" i="12" l="1"/>
  <c r="BA68" i="5" s="1"/>
  <c r="BA67" i="5"/>
  <c r="BA69" i="12"/>
  <c r="BA65" i="8"/>
  <c r="BA85" i="8"/>
  <c r="AZ86" i="8"/>
  <c r="BA86" i="8" s="1"/>
  <c r="BA78" i="16"/>
  <c r="BA90" i="8" l="1"/>
  <c r="BA88" i="8" s="1"/>
  <c r="BA87" i="8"/>
  <c r="AZ90" i="8"/>
  <c r="AZ88" i="8" s="1"/>
  <c r="AZ87" i="8"/>
  <c r="BA79" i="16"/>
  <c r="AZ96" i="8"/>
  <c r="AZ100" i="8" l="1"/>
  <c r="AZ98" i="8" s="1"/>
  <c r="AZ87" i="16"/>
  <c r="AZ94" i="16" s="1"/>
  <c r="AZ65" i="5" s="1"/>
  <c r="BA96" i="8"/>
  <c r="AZ97" i="8"/>
  <c r="AZ81" i="12" l="1"/>
  <c r="AZ96" i="16"/>
  <c r="AZ98" i="16"/>
  <c r="AZ66" i="5" s="1"/>
  <c r="AZ97" i="16"/>
  <c r="BA97" i="8"/>
  <c r="BA100" i="8"/>
  <c r="BA98" i="8" s="1"/>
  <c r="BA81" i="16"/>
  <c r="BA87" i="16" s="1"/>
  <c r="BA94" i="16" s="1"/>
  <c r="BA65" i="5" s="1"/>
  <c r="BA96" i="16" l="1"/>
  <c r="BA81" i="12"/>
  <c r="BA82" i="12" s="1"/>
  <c r="BA98" i="16"/>
  <c r="BA66" i="5" s="1"/>
  <c r="AZ82" i="12"/>
  <c r="AZ83" i="12"/>
  <c r="BA12" i="12" l="1"/>
  <c r="BA15" i="12"/>
  <c r="BA16" i="12"/>
  <c r="BA14" i="12"/>
  <c r="BA20" i="12"/>
  <c r="BA24" i="12"/>
  <c r="AZ27" i="12"/>
  <c r="AZ64" i="12" s="1"/>
  <c r="AZ68" i="12" s="1"/>
  <c r="AZ67" i="5" s="1"/>
  <c r="AZ65" i="8" l="1"/>
  <c r="AZ71" i="12"/>
  <c r="AZ68" i="5" s="1"/>
  <c r="AZ70" i="12"/>
  <c r="AZ69" i="12"/>
  <c r="AZ58" i="12"/>
  <c r="AZ61" i="12" s="1"/>
  <c r="BB60" i="12" s="1"/>
  <c r="AZ63" i="8"/>
  <c r="BA33" i="12" l="1"/>
  <c r="BA34" i="12"/>
  <c r="BA43" i="12"/>
  <c r="BA44" i="12"/>
  <c r="BA45" i="12"/>
  <c r="BA48" i="12"/>
  <c r="BA49" i="12"/>
  <c r="BA50" i="12"/>
  <c r="BB89" i="5" l="1"/>
  <c r="BC195" i="5"/>
  <c r="BB195" i="5"/>
  <c r="BB139" i="5"/>
  <c r="BF14" i="5"/>
  <c r="BF16" i="5" s="1"/>
  <c r="BB59" i="8"/>
  <c r="BB112" i="8" l="1"/>
  <c r="BB105" i="8"/>
  <c r="BB78" i="8"/>
  <c r="BF141" i="5"/>
  <c r="BF91" i="5"/>
  <c r="BF18" i="5"/>
  <c r="BF59" i="8"/>
  <c r="BF89" i="5"/>
  <c r="BF139" i="5"/>
  <c r="BB18" i="5"/>
  <c r="BB16" i="5"/>
  <c r="BB41" i="5" l="1"/>
  <c r="BB90" i="12" s="1"/>
  <c r="BF112" i="8"/>
  <c r="BF105" i="8"/>
  <c r="BF78" i="8"/>
  <c r="BF53" i="8"/>
  <c r="BF108" i="8" s="1"/>
  <c r="BB197" i="5"/>
  <c r="BB91" i="5"/>
  <c r="BC197" i="5"/>
  <c r="BB141" i="5"/>
  <c r="BK14" i="5"/>
  <c r="BP139" i="5" s="1"/>
  <c r="BH195" i="5"/>
  <c r="BG139" i="5"/>
  <c r="BG89" i="5"/>
  <c r="BG195" i="5"/>
  <c r="BG59" i="8"/>
  <c r="BB32" i="8"/>
  <c r="BB41" i="8" s="1"/>
  <c r="BB53" i="8"/>
  <c r="BB108" i="8" s="1"/>
  <c r="BB215" i="5" l="1"/>
  <c r="BF41" i="5"/>
  <c r="BF90" i="12" s="1"/>
  <c r="BB49" i="5"/>
  <c r="BB50" i="5" s="1"/>
  <c r="BB159" i="5"/>
  <c r="BC215" i="5"/>
  <c r="BB42" i="5"/>
  <c r="BB93" i="12" s="1"/>
  <c r="BB109" i="5"/>
  <c r="BG112" i="8"/>
  <c r="BG78" i="8"/>
  <c r="BG105" i="8"/>
  <c r="BK89" i="5"/>
  <c r="BK59" i="8"/>
  <c r="BK16" i="5"/>
  <c r="BP141" i="5" s="1"/>
  <c r="BK139" i="5"/>
  <c r="BG197" i="5"/>
  <c r="BG91" i="5"/>
  <c r="BG141" i="5"/>
  <c r="BH197" i="5"/>
  <c r="BG41" i="5"/>
  <c r="BC223" i="5" l="1"/>
  <c r="BF159" i="5"/>
  <c r="BF109" i="5"/>
  <c r="BF49" i="5"/>
  <c r="BF117" i="5" s="1"/>
  <c r="BB167" i="5"/>
  <c r="BF42" i="5"/>
  <c r="BF93" i="12" s="1"/>
  <c r="BB223" i="5"/>
  <c r="BB56" i="5"/>
  <c r="BB59" i="5" s="1"/>
  <c r="BB117" i="5"/>
  <c r="BL159" i="5"/>
  <c r="BG90" i="12"/>
  <c r="BL113" i="8"/>
  <c r="BL106" i="8"/>
  <c r="BG53" i="8"/>
  <c r="BG108" i="8" s="1"/>
  <c r="BG32" i="8"/>
  <c r="BG41" i="8" s="1"/>
  <c r="BG159" i="5"/>
  <c r="BH215" i="5"/>
  <c r="BG42" i="5"/>
  <c r="BG93" i="12" s="1"/>
  <c r="BG215" i="5"/>
  <c r="BG109" i="5"/>
  <c r="BK41" i="5"/>
  <c r="BG49" i="5"/>
  <c r="BL167" i="5" s="1"/>
  <c r="BL79" i="8"/>
  <c r="BB227" i="5"/>
  <c r="BB171" i="5"/>
  <c r="BB121" i="5"/>
  <c r="BC227" i="5"/>
  <c r="BB54" i="5"/>
  <c r="BB67" i="16"/>
  <c r="BB70" i="16" s="1"/>
  <c r="BF53" i="5"/>
  <c r="BK91" i="5"/>
  <c r="BK18" i="5"/>
  <c r="BK141" i="5"/>
  <c r="BK105" i="8"/>
  <c r="BK53" i="8"/>
  <c r="BK108" i="8" s="1"/>
  <c r="BK112" i="8"/>
  <c r="BB230" i="5" l="1"/>
  <c r="BB124" i="5"/>
  <c r="BC230" i="5"/>
  <c r="BB174" i="5"/>
  <c r="BF50" i="5"/>
  <c r="BF167" i="5"/>
  <c r="BF56" i="5"/>
  <c r="BF63" i="16" s="1"/>
  <c r="BF73" i="16" s="1"/>
  <c r="BB63" i="16"/>
  <c r="BB73" i="16" s="1"/>
  <c r="BB77" i="16" s="1"/>
  <c r="BP159" i="5"/>
  <c r="BK90" i="12"/>
  <c r="BG223" i="5"/>
  <c r="BH223" i="5"/>
  <c r="BG167" i="5"/>
  <c r="BG50" i="5"/>
  <c r="BG117" i="5"/>
  <c r="BB85" i="16"/>
  <c r="BK159" i="5"/>
  <c r="BK42" i="5"/>
  <c r="BK93" i="12" s="1"/>
  <c r="BK109" i="5"/>
  <c r="BK49" i="5"/>
  <c r="BP167" i="5" s="1"/>
  <c r="BB233" i="5"/>
  <c r="BC233" i="5"/>
  <c r="BB177" i="5"/>
  <c r="AW23" i="6"/>
  <c r="BF54" i="5"/>
  <c r="BF121" i="5"/>
  <c r="BF171" i="5"/>
  <c r="BF67" i="16"/>
  <c r="BF70" i="16" s="1"/>
  <c r="AW24" i="6"/>
  <c r="BF124" i="5" l="1"/>
  <c r="BF174" i="5"/>
  <c r="BF59" i="5"/>
  <c r="BB74" i="16"/>
  <c r="BB71" i="16"/>
  <c r="BG67" i="16"/>
  <c r="BG70" i="16" s="1"/>
  <c r="BG56" i="5"/>
  <c r="BL174" i="5" s="1"/>
  <c r="BL171" i="5"/>
  <c r="BF77" i="16"/>
  <c r="BF71" i="16"/>
  <c r="BF85" i="16"/>
  <c r="BG121" i="5"/>
  <c r="BG54" i="5"/>
  <c r="BG227" i="5"/>
  <c r="BG171" i="5"/>
  <c r="BH227" i="5"/>
  <c r="BK53" i="5"/>
  <c r="BK117" i="5"/>
  <c r="BK167" i="5"/>
  <c r="BK50" i="5"/>
  <c r="BB27" i="12"/>
  <c r="BA23" i="6"/>
  <c r="BF177" i="5"/>
  <c r="BA24" i="6"/>
  <c r="P41" i="7" l="1"/>
  <c r="I41" i="7"/>
  <c r="O41" i="7"/>
  <c r="L41" i="7"/>
  <c r="J41" i="7"/>
  <c r="J44" i="7" s="1"/>
  <c r="M41" i="7"/>
  <c r="BG63" i="16"/>
  <c r="BG73" i="16" s="1"/>
  <c r="BG77" i="16" s="1"/>
  <c r="BG59" i="5"/>
  <c r="P19" i="25" s="1"/>
  <c r="R19" i="25" s="1"/>
  <c r="S19" i="25" s="1"/>
  <c r="BG174" i="5"/>
  <c r="BG124" i="5"/>
  <c r="BH230" i="5"/>
  <c r="BG230" i="5"/>
  <c r="BK56" i="5"/>
  <c r="BP171" i="5"/>
  <c r="BG85" i="16"/>
  <c r="BB63" i="8"/>
  <c r="BB58" i="12"/>
  <c r="BB61" i="12" s="1"/>
  <c r="BB64" i="12"/>
  <c r="BB68" i="12" s="1"/>
  <c r="BF74" i="16"/>
  <c r="BK121" i="5"/>
  <c r="BK171" i="5"/>
  <c r="BK54" i="5"/>
  <c r="BK67" i="16"/>
  <c r="BK70" i="16" s="1"/>
  <c r="BB67" i="5" l="1"/>
  <c r="BB91" i="12"/>
  <c r="BP174" i="5"/>
  <c r="BK59" i="5"/>
  <c r="I44" i="7"/>
  <c r="L44" i="7"/>
  <c r="M44" i="7"/>
  <c r="P44" i="7"/>
  <c r="O44" i="7"/>
  <c r="J47" i="7"/>
  <c r="I47" i="7"/>
  <c r="M47" i="7"/>
  <c r="L47" i="7"/>
  <c r="P47" i="7"/>
  <c r="O47" i="7"/>
  <c r="I42" i="7"/>
  <c r="M42" i="7"/>
  <c r="P42" i="7"/>
  <c r="O42" i="7"/>
  <c r="J42" i="7"/>
  <c r="L42" i="7"/>
  <c r="BL177" i="5"/>
  <c r="BG233" i="5"/>
  <c r="BH233" i="5"/>
  <c r="BG177" i="5"/>
  <c r="BB23" i="6"/>
  <c r="BK174" i="5"/>
  <c r="BG71" i="16"/>
  <c r="BK63" i="16"/>
  <c r="BK73" i="16" s="1"/>
  <c r="BK77" i="16" s="1"/>
  <c r="BK74" i="16" s="1"/>
  <c r="BK124" i="5"/>
  <c r="BK85" i="16"/>
  <c r="BB71" i="12"/>
  <c r="BB70" i="12"/>
  <c r="BB65" i="8"/>
  <c r="BB69" i="12"/>
  <c r="BC60" i="12"/>
  <c r="BG74" i="16"/>
  <c r="BB24" i="6"/>
  <c r="BB94" i="12" l="1"/>
  <c r="BB68" i="5"/>
  <c r="BB72" i="12"/>
  <c r="BP177" i="5"/>
  <c r="BF23" i="6"/>
  <c r="BK71" i="16"/>
  <c r="BK177" i="5"/>
  <c r="BB47" i="8"/>
  <c r="BB49" i="8" s="1"/>
  <c r="BB50" i="8" s="1"/>
  <c r="BB12" i="8"/>
  <c r="BB23" i="8" s="1"/>
  <c r="BF24" i="6"/>
  <c r="BB45" i="8" l="1"/>
  <c r="BB54" i="8" s="1"/>
  <c r="BB51" i="8"/>
  <c r="BA61" i="19" l="1"/>
  <c r="BF61" i="19"/>
  <c r="BA49" i="19"/>
  <c r="BA64" i="19"/>
  <c r="BF64" i="19"/>
  <c r="BA70" i="19"/>
  <c r="BF62" i="19"/>
  <c r="BA62" i="19"/>
  <c r="BA50" i="19"/>
  <c r="BA52" i="19" l="1"/>
  <c r="BF94" i="8"/>
  <c r="BF95" i="8" l="1"/>
  <c r="BB96" i="8"/>
  <c r="BB97" i="8" l="1"/>
  <c r="BB81" i="16"/>
  <c r="BB87" i="16" s="1"/>
  <c r="BB94" i="16" s="1"/>
  <c r="BB65" i="5" s="1"/>
  <c r="BB98" i="8"/>
  <c r="BB81" i="12" l="1"/>
  <c r="BB85" i="12" s="1"/>
  <c r="BB98" i="16"/>
  <c r="BB66" i="5" s="1"/>
  <c r="BB87" i="12" s="1"/>
  <c r="BB88" i="12" s="1"/>
  <c r="BB96" i="16"/>
  <c r="BB97" i="16"/>
  <c r="BB82" i="12" l="1"/>
  <c r="BB83" i="12"/>
  <c r="BC12" i="8" l="1"/>
  <c r="BC23" i="8" s="1"/>
  <c r="BC47" i="8"/>
  <c r="BC49" i="8" s="1"/>
  <c r="BC50" i="8" s="1"/>
  <c r="BC45" i="8" l="1"/>
  <c r="BC54" i="8" s="1"/>
  <c r="BC51" i="8"/>
  <c r="BC27" i="12" l="1"/>
  <c r="BC96" i="8"/>
  <c r="BC97" i="8" s="1"/>
  <c r="BC58" i="12" l="1"/>
  <c r="BC61" i="12" s="1"/>
  <c r="BD60" i="12" s="1"/>
  <c r="BC64" i="12"/>
  <c r="BC68" i="12" s="1"/>
  <c r="BC63" i="8"/>
  <c r="BC98" i="8"/>
  <c r="BC67" i="5" l="1"/>
  <c r="BC91" i="12"/>
  <c r="BC71" i="12"/>
  <c r="BC70" i="12"/>
  <c r="BC65" i="8"/>
  <c r="BC69" i="12"/>
  <c r="BC94" i="12" l="1"/>
  <c r="BC68" i="5"/>
  <c r="BC72" i="12"/>
  <c r="BD47" i="8"/>
  <c r="BD49" i="8" s="1"/>
  <c r="BD50" i="8" s="1"/>
  <c r="BD12" i="8"/>
  <c r="BD23" i="8" s="1"/>
  <c r="BD45" i="8" l="1"/>
  <c r="BD51" i="8"/>
  <c r="BC86" i="8" l="1"/>
  <c r="BC81" i="16" l="1"/>
  <c r="BC87" i="16" s="1"/>
  <c r="BC94" i="16" s="1"/>
  <c r="BC65" i="5" s="1"/>
  <c r="BC90" i="8"/>
  <c r="BC88" i="8" s="1"/>
  <c r="BC87" i="8"/>
  <c r="BC81" i="12" l="1"/>
  <c r="BC85" i="12" s="1"/>
  <c r="BC98" i="16"/>
  <c r="BC66" i="5" s="1"/>
  <c r="BC87" i="12" s="1"/>
  <c r="BC88" i="12" s="1"/>
  <c r="BC96" i="16"/>
  <c r="BC97" i="16"/>
  <c r="BC83" i="12" l="1"/>
  <c r="BC82" i="12"/>
  <c r="BC29" i="14" l="1"/>
  <c r="BC15" i="14" l="1"/>
  <c r="BG21" i="14"/>
  <c r="BJ15" i="14"/>
  <c r="BE11" i="14"/>
  <c r="BE29" i="14"/>
  <c r="BC21" i="14"/>
  <c r="BH15" i="14"/>
  <c r="BE35" i="14" l="1"/>
  <c r="BJ17" i="14"/>
  <c r="BE23" i="14"/>
  <c r="BE17" i="14"/>
  <c r="BG23" i="14"/>
  <c r="BD27" i="12" l="1"/>
  <c r="BD64" i="12" l="1"/>
  <c r="BD68" i="12" s="1"/>
  <c r="BD58" i="12"/>
  <c r="BD61" i="12" s="1"/>
  <c r="BE60" i="12" s="1"/>
  <c r="BD63" i="8"/>
  <c r="BD67" i="5" l="1"/>
  <c r="BD91" i="12"/>
  <c r="BD70" i="12"/>
  <c r="BD71" i="12"/>
  <c r="BD65" i="8"/>
  <c r="BD69" i="12"/>
  <c r="BD96" i="8"/>
  <c r="BD94" i="12" l="1"/>
  <c r="BD68" i="5"/>
  <c r="BD72" i="12"/>
  <c r="BD98" i="8"/>
  <c r="BD97" i="8"/>
  <c r="BE81" i="16" l="1"/>
  <c r="BF96" i="8"/>
  <c r="BF18" i="8" l="1"/>
  <c r="BH93" i="8" s="1"/>
  <c r="BF97" i="8"/>
  <c r="BF100" i="8"/>
  <c r="BF98" i="8" s="1"/>
  <c r="BE87" i="16"/>
  <c r="BE94" i="16" s="1"/>
  <c r="BE65" i="5" s="1"/>
  <c r="BF79" i="16"/>
  <c r="BE81" i="12" l="1"/>
  <c r="BE96" i="16"/>
  <c r="BE98" i="16"/>
  <c r="BE66" i="5" s="1"/>
  <c r="BE87" i="12" s="1"/>
  <c r="BK93" i="8"/>
  <c r="BE47" i="8" l="1"/>
  <c r="BE49" i="8" s="1"/>
  <c r="BE50" i="8" s="1"/>
  <c r="BE12" i="8"/>
  <c r="BE23" i="8" s="1"/>
  <c r="BE43" i="8" s="1"/>
  <c r="BF7" i="8"/>
  <c r="BE82" i="12"/>
  <c r="BF12" i="8" l="1"/>
  <c r="BF23" i="8" s="1"/>
  <c r="BF47" i="8"/>
  <c r="BF49" i="8" s="1"/>
  <c r="BF50" i="8" s="1"/>
  <c r="BF43" i="8"/>
  <c r="BE45" i="8"/>
  <c r="BE54" i="8" s="1"/>
  <c r="BE51" i="8"/>
  <c r="BF51" i="8" l="1"/>
  <c r="BF45" i="8"/>
  <c r="BF54" i="8" s="1"/>
  <c r="BF78" i="16" l="1"/>
  <c r="BD86" i="8"/>
  <c r="BF86" i="8" s="1"/>
  <c r="BF81" i="16" l="1"/>
  <c r="BF90" i="8"/>
  <c r="BF88" i="8" s="1"/>
  <c r="BF87" i="8"/>
  <c r="BD87" i="8"/>
  <c r="BD90" i="8"/>
  <c r="BD88" i="8" s="1"/>
  <c r="BD81" i="16"/>
  <c r="BD87" i="16" s="1"/>
  <c r="BD94" i="16" s="1"/>
  <c r="BD65" i="5" s="1"/>
  <c r="BD97" i="16" l="1"/>
  <c r="BD96" i="16"/>
  <c r="BD98" i="16"/>
  <c r="BD66" i="5" s="1"/>
  <c r="BD87" i="12" s="1"/>
  <c r="BD88" i="12" s="1"/>
  <c r="BE97" i="16"/>
  <c r="BD81" i="12"/>
  <c r="BD85" i="12" s="1"/>
  <c r="BF87" i="16"/>
  <c r="BF94" i="16" s="1"/>
  <c r="BF65" i="5" s="1"/>
  <c r="BD82" i="12" l="1"/>
  <c r="BE83" i="12"/>
  <c r="BD83" i="12"/>
  <c r="BF96" i="16"/>
  <c r="BF81" i="12"/>
  <c r="BF98" i="16"/>
  <c r="BF66" i="5" s="1"/>
  <c r="BF87" i="12" s="1"/>
  <c r="BF82" i="12" l="1"/>
  <c r="BE18" i="12"/>
  <c r="BE13" i="12"/>
  <c r="BE25" i="12"/>
  <c r="BE17" i="12"/>
  <c r="BE22" i="12"/>
  <c r="BE23" i="12"/>
  <c r="BE14" i="12"/>
  <c r="BE15" i="12"/>
  <c r="BE19" i="12"/>
  <c r="BE12" i="12"/>
  <c r="BF27" i="12"/>
  <c r="BF63" i="8" s="1"/>
  <c r="BE24" i="12"/>
  <c r="BE10" i="12"/>
  <c r="BE20" i="12"/>
  <c r="BE16" i="12"/>
  <c r="BE21" i="12"/>
  <c r="BE9" i="12"/>
  <c r="BE27" i="12" l="1"/>
  <c r="BE64" i="12" s="1"/>
  <c r="BE68" i="12" s="1"/>
  <c r="BF64" i="12"/>
  <c r="BF68" i="12" s="1"/>
  <c r="BF91" i="12" l="1"/>
  <c r="BF85" i="12"/>
  <c r="BE67" i="5"/>
  <c r="BE91" i="12"/>
  <c r="BE85" i="12"/>
  <c r="BF69" i="12"/>
  <c r="BF67" i="5"/>
  <c r="BE63" i="8"/>
  <c r="BF71" i="12"/>
  <c r="BF65" i="8"/>
  <c r="BE71" i="12"/>
  <c r="BE70" i="12"/>
  <c r="BE65" i="8"/>
  <c r="BE69" i="12"/>
  <c r="BF38" i="12"/>
  <c r="BF58" i="12" s="1"/>
  <c r="BF61" i="12" s="1"/>
  <c r="BK60" i="12" s="1"/>
  <c r="BE30" i="12"/>
  <c r="BE38" i="12" s="1"/>
  <c r="BE58" i="12" s="1"/>
  <c r="BE61" i="12" s="1"/>
  <c r="BG60" i="12" s="1"/>
  <c r="BE94" i="12" l="1"/>
  <c r="BE88" i="12"/>
  <c r="BF94" i="12"/>
  <c r="BF88" i="12"/>
  <c r="BF68" i="5"/>
  <c r="BF72" i="12"/>
  <c r="BE68" i="5"/>
  <c r="BE72" i="12"/>
  <c r="BG12" i="8"/>
  <c r="BG23" i="8" s="1"/>
  <c r="BG47" i="8"/>
  <c r="BG49" i="8" s="1"/>
  <c r="BG50" i="8" s="1"/>
  <c r="BG51" i="8" l="1"/>
  <c r="BG45" i="8"/>
  <c r="BG54" i="8" s="1"/>
  <c r="BG27" i="12"/>
  <c r="BG63" i="8" s="1"/>
  <c r="BG64" i="12" l="1"/>
  <c r="BG94" i="8"/>
  <c r="BG65" i="12"/>
  <c r="BG83" i="8"/>
  <c r="BG38" i="12"/>
  <c r="BG58" i="12" s="1"/>
  <c r="BG61" i="12" s="1"/>
  <c r="BH60" i="12" s="1"/>
  <c r="BG68" i="12" l="1"/>
  <c r="BG85" i="8"/>
  <c r="BG95" i="8"/>
  <c r="BG65" i="8" l="1"/>
  <c r="BG91" i="12"/>
  <c r="BG69" i="12"/>
  <c r="BG70" i="12"/>
  <c r="BG71" i="12"/>
  <c r="BG67" i="5"/>
  <c r="BG96" i="8"/>
  <c r="BG94" i="12" l="1"/>
  <c r="BG68" i="5"/>
  <c r="BG72" i="12"/>
  <c r="BG98" i="8"/>
  <c r="BG97" i="8"/>
  <c r="BI93" i="8" l="1"/>
  <c r="BI97" i="8" s="1"/>
  <c r="BH47" i="8" l="1"/>
  <c r="BH49" i="8" s="1"/>
  <c r="BH50" i="8" s="1"/>
  <c r="BH12" i="8"/>
  <c r="BH23" i="8" s="1"/>
  <c r="BH51" i="8" l="1"/>
  <c r="BH45" i="8"/>
  <c r="BH54" i="8" s="1"/>
  <c r="BG86" i="8" l="1"/>
  <c r="BG81" i="16" s="1"/>
  <c r="BG87" i="16" s="1"/>
  <c r="BG94" i="16" s="1"/>
  <c r="BG65" i="5" s="1"/>
  <c r="BG97" i="16" l="1"/>
  <c r="BG81" i="12"/>
  <c r="BG85" i="12" s="1"/>
  <c r="BG98" i="16"/>
  <c r="BG66" i="5" s="1"/>
  <c r="BG87" i="12" s="1"/>
  <c r="BG88" i="12" s="1"/>
  <c r="BG96" i="16"/>
  <c r="BG87" i="8"/>
  <c r="BG90" i="8"/>
  <c r="BG88" i="8" s="1"/>
  <c r="BG83" i="12" l="1"/>
  <c r="BG82" i="12"/>
  <c r="BH27" i="12"/>
  <c r="BH64" i="12" s="1"/>
  <c r="BH63" i="8" l="1"/>
  <c r="BH94" i="8"/>
  <c r="BH65" i="12"/>
  <c r="BH68" i="12" s="1"/>
  <c r="BH83" i="8"/>
  <c r="BH85" i="8" s="1"/>
  <c r="BH38" i="12"/>
  <c r="BH58" i="12" s="1"/>
  <c r="BH61" i="12" s="1"/>
  <c r="BI60" i="12" s="1"/>
  <c r="BH67" i="5" l="1"/>
  <c r="BH91" i="12"/>
  <c r="BH70" i="12"/>
  <c r="BH69" i="12"/>
  <c r="BH71" i="12"/>
  <c r="BH65" i="8"/>
  <c r="BH95" i="8"/>
  <c r="BH94" i="12" l="1"/>
  <c r="BH68" i="5"/>
  <c r="BH72" i="12"/>
  <c r="BK65" i="12"/>
  <c r="BH86" i="8" l="1"/>
  <c r="BH90" i="8" s="1"/>
  <c r="BH87" i="8" l="1"/>
  <c r="BH88" i="8"/>
  <c r="BH96" i="8" l="1"/>
  <c r="BH81" i="16" l="1"/>
  <c r="BH87" i="16" s="1"/>
  <c r="BH94" i="16" s="1"/>
  <c r="BH65" i="5" s="1"/>
  <c r="BH97" i="8"/>
  <c r="BH98" i="8"/>
  <c r="BH98" i="16" l="1"/>
  <c r="BH66" i="5" s="1"/>
  <c r="BH87" i="12" s="1"/>
  <c r="BH88" i="12" s="1"/>
  <c r="BH97" i="16"/>
  <c r="BH96" i="16"/>
  <c r="BH81" i="12"/>
  <c r="BH85" i="12" s="1"/>
  <c r="BJ93" i="8"/>
  <c r="BJ97" i="8" s="1"/>
  <c r="BH82" i="12" l="1"/>
  <c r="BH83" i="12"/>
  <c r="BI12" i="8" l="1"/>
  <c r="BI23" i="8" s="1"/>
  <c r="BI43" i="8" s="1"/>
  <c r="BI47" i="8"/>
  <c r="BI49" i="8" s="1"/>
  <c r="BI50" i="8" s="1"/>
  <c r="BI45" i="8" l="1"/>
  <c r="BI54" i="8" s="1"/>
  <c r="BI51" i="8"/>
  <c r="BM64" i="19" l="1"/>
  <c r="BH58" i="19"/>
  <c r="BH70" i="19"/>
  <c r="BH64" i="19"/>
  <c r="BH44" i="19"/>
  <c r="BH62" i="19" s="1"/>
  <c r="BH50" i="19" l="1"/>
  <c r="BH52" i="19" s="1"/>
  <c r="BH56" i="19"/>
  <c r="BI27" i="12" l="1"/>
  <c r="BI64" i="12" l="1"/>
  <c r="BI68" i="12" s="1"/>
  <c r="BI63" i="8"/>
  <c r="BI67" i="5" l="1"/>
  <c r="BI91" i="12"/>
  <c r="BI71" i="12"/>
  <c r="BI69" i="12"/>
  <c r="BI65" i="8"/>
  <c r="BI70" i="12"/>
  <c r="BI38" i="12"/>
  <c r="BI58" i="12" s="1"/>
  <c r="BI61" i="12" s="1"/>
  <c r="BJ60" i="12" s="1"/>
  <c r="BI94" i="12" l="1"/>
  <c r="BI68" i="5"/>
  <c r="BI72" i="12"/>
  <c r="BK38" i="12"/>
  <c r="BI100" i="8"/>
  <c r="BI98" i="8" s="1"/>
  <c r="BK79" i="16" l="1"/>
  <c r="BK96" i="8"/>
  <c r="BK18" i="8" l="1"/>
  <c r="BL93" i="8"/>
  <c r="BL97" i="8" s="1"/>
  <c r="BK97" i="8"/>
  <c r="BP93" i="8" l="1"/>
  <c r="BM93" i="8" l="1"/>
  <c r="BM97" i="8" s="1"/>
  <c r="BK7" i="8"/>
  <c r="BJ47" i="8"/>
  <c r="BJ49" i="8" s="1"/>
  <c r="BJ50" i="8" s="1"/>
  <c r="BJ12" i="8"/>
  <c r="BJ23" i="8" s="1"/>
  <c r="BJ43" i="8" s="1"/>
  <c r="BM100" i="8" l="1"/>
  <c r="BM98" i="8" s="1"/>
  <c r="BK47" i="8"/>
  <c r="BK49" i="8" s="1"/>
  <c r="BK50" i="8" s="1"/>
  <c r="BK12" i="8"/>
  <c r="BK23" i="8" s="1"/>
  <c r="BJ45" i="8"/>
  <c r="BJ54" i="8" s="1"/>
  <c r="BJ51" i="8"/>
  <c r="BK43" i="8"/>
  <c r="BK45" i="8" l="1"/>
  <c r="BK54" i="8" s="1"/>
  <c r="BK51" i="8"/>
  <c r="BP18" i="8" l="1"/>
  <c r="BU93" i="8" l="1"/>
  <c r="BI62" i="19" l="1"/>
  <c r="BI56" i="19"/>
  <c r="BN62" i="19"/>
  <c r="BI46" i="19"/>
  <c r="BI70" i="19" s="1"/>
  <c r="BI50" i="19"/>
  <c r="BI52" i="19" s="1"/>
  <c r="BI58" i="19" l="1"/>
  <c r="BI64" i="19"/>
  <c r="BN64" i="19"/>
  <c r="BI90" i="8" l="1"/>
  <c r="BI88" i="8" s="1"/>
  <c r="BI81" i="16"/>
  <c r="BI87" i="16" l="1"/>
  <c r="BI94" i="16" s="1"/>
  <c r="BI65" i="5" s="1"/>
  <c r="BI96" i="16" l="1"/>
  <c r="BI81" i="12"/>
  <c r="BI85" i="12" s="1"/>
  <c r="BI97" i="16"/>
  <c r="BI98" i="16"/>
  <c r="BI66" i="5" s="1"/>
  <c r="BI87" i="12" s="1"/>
  <c r="BI88" i="12" s="1"/>
  <c r="BI83" i="12" l="1"/>
  <c r="BI82" i="12"/>
  <c r="BJ12" i="12"/>
  <c r="BJ14" i="12"/>
  <c r="BJ15" i="12"/>
  <c r="BJ16" i="12"/>
  <c r="BJ20" i="12"/>
  <c r="BK27" i="12"/>
  <c r="BK58" i="12" s="1"/>
  <c r="BK61" i="12" s="1"/>
  <c r="BP60" i="12" s="1"/>
  <c r="BJ24" i="12"/>
  <c r="BJ27" i="12" l="1"/>
  <c r="BJ64" i="12" s="1"/>
  <c r="BJ68" i="12" s="1"/>
  <c r="BJ91" i="12" s="1"/>
  <c r="BK64" i="12"/>
  <c r="BK68" i="12" s="1"/>
  <c r="BK91" i="12" s="1"/>
  <c r="BK63" i="8"/>
  <c r="BJ63" i="8" l="1"/>
  <c r="BK65" i="8"/>
  <c r="BK67" i="5"/>
  <c r="BK69" i="12"/>
  <c r="BK71" i="12"/>
  <c r="BJ67" i="5"/>
  <c r="BJ71" i="12"/>
  <c r="BJ69" i="12"/>
  <c r="BJ65" i="8"/>
  <c r="BJ70" i="12"/>
  <c r="BJ94" i="12" l="1"/>
  <c r="BK94" i="12"/>
  <c r="BJ68" i="5"/>
  <c r="BJ72" i="12"/>
  <c r="BK72" i="12"/>
  <c r="BK68" i="5"/>
  <c r="BL82" i="8"/>
  <c r="BL87" i="8" s="1"/>
  <c r="BJ38" i="12"/>
  <c r="BJ58" i="12" s="1"/>
  <c r="BJ61" i="12" s="1"/>
  <c r="BL60" i="12" s="1"/>
  <c r="BK83" i="8"/>
  <c r="BK85" i="8" l="1"/>
  <c r="BJ81" i="16"/>
  <c r="BJ87" i="16" s="1"/>
  <c r="BJ94" i="16" s="1"/>
  <c r="BK86" i="8"/>
  <c r="BJ90" i="8"/>
  <c r="BJ88" i="8" s="1"/>
  <c r="BK78" i="16"/>
  <c r="BL27" i="12" l="1"/>
  <c r="BJ98" i="16"/>
  <c r="BJ66" i="5" s="1"/>
  <c r="BJ87" i="12" s="1"/>
  <c r="BJ88" i="12" s="1"/>
  <c r="BJ97" i="16"/>
  <c r="BJ96" i="16"/>
  <c r="BJ81" i="12"/>
  <c r="BJ85" i="12" s="1"/>
  <c r="BJ65" i="5"/>
  <c r="BK81" i="16"/>
  <c r="BK87" i="16" s="1"/>
  <c r="BK94" i="16" s="1"/>
  <c r="BK87" i="8"/>
  <c r="BK90" i="8"/>
  <c r="BK88" i="8" s="1"/>
  <c r="BL87" i="16" l="1"/>
  <c r="BL94" i="16" s="1"/>
  <c r="BL58" i="12"/>
  <c r="BL61" i="12" s="1"/>
  <c r="BL63" i="8"/>
  <c r="BL64" i="12"/>
  <c r="BL68" i="12" s="1"/>
  <c r="BL91" i="12" s="1"/>
  <c r="BJ82" i="12"/>
  <c r="BJ83" i="12"/>
  <c r="BK98" i="16"/>
  <c r="BK66" i="5" s="1"/>
  <c r="BK87" i="12" s="1"/>
  <c r="BK88" i="12" s="1"/>
  <c r="BK96" i="16"/>
  <c r="BK65" i="5"/>
  <c r="BK81" i="12"/>
  <c r="BK85" i="12" s="1"/>
  <c r="BM27" i="12" l="1"/>
  <c r="BM60" i="12"/>
  <c r="BL65" i="5"/>
  <c r="BL98" i="16"/>
  <c r="BL66" i="5" s="1"/>
  <c r="BL87" i="12" s="1"/>
  <c r="BL96" i="16"/>
  <c r="BL81" i="12"/>
  <c r="BL85" i="12" s="1"/>
  <c r="BL97" i="16"/>
  <c r="BL67" i="5"/>
  <c r="BL69" i="12"/>
  <c r="BL65" i="8"/>
  <c r="BL71" i="12"/>
  <c r="BL70" i="12"/>
  <c r="BK82" i="12"/>
  <c r="BK94" i="8"/>
  <c r="BK100" i="8" s="1"/>
  <c r="BJ100" i="8"/>
  <c r="BL88" i="12" l="1"/>
  <c r="BL94" i="12"/>
  <c r="BL68" i="5"/>
  <c r="BL72" i="12"/>
  <c r="BL47" i="8"/>
  <c r="BL49" i="8" s="1"/>
  <c r="BL50" i="8" s="1"/>
  <c r="BL12" i="8"/>
  <c r="BL23" i="8" s="1"/>
  <c r="BL43" i="8" s="1"/>
  <c r="BM58" i="12"/>
  <c r="BM61" i="12" s="1"/>
  <c r="BM63" i="8"/>
  <c r="BM64" i="12"/>
  <c r="BM68" i="12" s="1"/>
  <c r="BM91" i="12" s="1"/>
  <c r="BL82" i="12"/>
  <c r="BL83" i="12"/>
  <c r="BM87" i="16"/>
  <c r="BM94" i="16" s="1"/>
  <c r="BK98" i="8"/>
  <c r="BJ98" i="8"/>
  <c r="BK95" i="8"/>
  <c r="BN60" i="12" l="1"/>
  <c r="BM67" i="5"/>
  <c r="BM70" i="12"/>
  <c r="BM71" i="12"/>
  <c r="BM69" i="12"/>
  <c r="BM65" i="8"/>
  <c r="BL51" i="8"/>
  <c r="BL45" i="8"/>
  <c r="BL54" i="8" s="1"/>
  <c r="BM65" i="5"/>
  <c r="BM96" i="16"/>
  <c r="BM81" i="12"/>
  <c r="BM85" i="12" s="1"/>
  <c r="BM97" i="16"/>
  <c r="BM98" i="16"/>
  <c r="BM66" i="5" s="1"/>
  <c r="BM87" i="12" s="1"/>
  <c r="BK61" i="19"/>
  <c r="BK49" i="19"/>
  <c r="BJ43" i="19"/>
  <c r="BJ55" i="19" s="1"/>
  <c r="BM94" i="12" l="1"/>
  <c r="BM88" i="12"/>
  <c r="BM68" i="5"/>
  <c r="BM72" i="12"/>
  <c r="BM83" i="12"/>
  <c r="BM82" i="12"/>
  <c r="BN27" i="12"/>
  <c r="BM12" i="8"/>
  <c r="BM23" i="8" s="1"/>
  <c r="BM43" i="8" s="1"/>
  <c r="BM47" i="8"/>
  <c r="BM49" i="8" s="1"/>
  <c r="BL55" i="19"/>
  <c r="BJ49" i="19"/>
  <c r="BJ61" i="19"/>
  <c r="BK62" i="19"/>
  <c r="BP62" i="19"/>
  <c r="BK46" i="19"/>
  <c r="BK70" i="19" s="1"/>
  <c r="BK50" i="19"/>
  <c r="BK52" i="19" s="1"/>
  <c r="BJ44" i="19"/>
  <c r="BM50" i="8" l="1"/>
  <c r="BM51" i="8"/>
  <c r="BM45" i="8"/>
  <c r="BM54" i="8" s="1"/>
  <c r="BN64" i="12"/>
  <c r="BN68" i="12" s="1"/>
  <c r="BN91" i="12" s="1"/>
  <c r="BN63" i="8"/>
  <c r="BN58" i="12"/>
  <c r="BN61" i="12" s="1"/>
  <c r="BN94" i="16"/>
  <c r="BJ62" i="19"/>
  <c r="BK64" i="19"/>
  <c r="BJ46" i="19"/>
  <c r="BJ56" i="19"/>
  <c r="BJ50" i="19"/>
  <c r="BJ52" i="19" s="1"/>
  <c r="BO60" i="12" l="1"/>
  <c r="BN65" i="5"/>
  <c r="BN81" i="12"/>
  <c r="BN85" i="12" s="1"/>
  <c r="BN97" i="16"/>
  <c r="BN98" i="16"/>
  <c r="BN66" i="5" s="1"/>
  <c r="BN87" i="12" s="1"/>
  <c r="BN96" i="16"/>
  <c r="BN67" i="5"/>
  <c r="BN69" i="12"/>
  <c r="BN71" i="12"/>
  <c r="BN70" i="12"/>
  <c r="BN65" i="8"/>
  <c r="BJ70" i="19"/>
  <c r="BJ58" i="19"/>
  <c r="BJ64" i="19"/>
  <c r="BN94" i="12" l="1"/>
  <c r="BN88" i="12"/>
  <c r="BN68" i="5"/>
  <c r="BN72" i="12"/>
  <c r="BP15" i="8"/>
  <c r="BU82" i="8" s="1"/>
  <c r="BN12" i="8"/>
  <c r="BN23" i="8" s="1"/>
  <c r="BN47" i="8"/>
  <c r="BN49" i="8" s="1"/>
  <c r="BN50" i="8" s="1"/>
  <c r="BN83" i="12"/>
  <c r="BN82" i="12"/>
  <c r="BN51" i="8" l="1"/>
  <c r="BN45" i="8"/>
  <c r="BN54" i="8" s="1"/>
  <c r="BO47" i="8" l="1"/>
  <c r="BO49" i="8" s="1"/>
  <c r="BO50" i="8" s="1"/>
  <c r="BP7" i="8"/>
  <c r="BO12" i="8"/>
  <c r="BO23" i="8" s="1"/>
  <c r="BP43" i="8" l="1"/>
  <c r="BO51" i="8"/>
  <c r="BO45" i="8"/>
  <c r="BO54" i="8" s="1"/>
  <c r="BP47" i="8"/>
  <c r="BP49" i="8" s="1"/>
  <c r="BP50" i="8" s="1"/>
  <c r="BP12" i="8"/>
  <c r="BP23" i="8" s="1"/>
  <c r="BP51" i="8" l="1"/>
  <c r="BP45" i="8"/>
  <c r="BP54" i="8" s="1"/>
  <c r="BT82" i="8" l="1"/>
  <c r="BU15" i="8" l="1"/>
  <c r="BZ82" i="8" s="1"/>
  <c r="BV82" i="8"/>
  <c r="BV86" i="8" l="1"/>
  <c r="BV90" i="8" s="1"/>
  <c r="BV15" i="8" s="1"/>
  <c r="BV88" i="8" l="1"/>
  <c r="BW82" i="8"/>
  <c r="BV78" i="16"/>
  <c r="BW86" i="8" l="1"/>
  <c r="BM82" i="8"/>
  <c r="BL90" i="8"/>
  <c r="BM87" i="8" l="1"/>
  <c r="BM90" i="8"/>
  <c r="BM88" i="8" s="1"/>
  <c r="BW78" i="16"/>
  <c r="BW90" i="8"/>
  <c r="BW15" i="8" s="1"/>
  <c r="BL88" i="8"/>
  <c r="BW88" i="8" l="1"/>
  <c r="BX82" i="8"/>
  <c r="BX86" i="8" l="1"/>
  <c r="BX90" i="8" s="1"/>
  <c r="BX15" i="8" s="1"/>
  <c r="BX88" i="8" l="1"/>
  <c r="BY82" i="8"/>
  <c r="BX78" i="16"/>
  <c r="BL100" i="8"/>
  <c r="BL98" i="8" s="1"/>
  <c r="BY86" i="8" l="1"/>
  <c r="BY90" i="8" s="1"/>
  <c r="BY15" i="8" s="1"/>
  <c r="CA82" i="8" s="1"/>
  <c r="BL62" i="19"/>
  <c r="BL56" i="19"/>
  <c r="BL50" i="19"/>
  <c r="BL52" i="19" s="1"/>
  <c r="BL46" i="19"/>
  <c r="BQ64" i="19" s="1"/>
  <c r="CA86" i="8" l="1"/>
  <c r="CA90" i="8" s="1"/>
  <c r="CA15" i="8" s="1"/>
  <c r="CB82" i="8" s="1"/>
  <c r="BM58" i="19"/>
  <c r="BL64" i="19"/>
  <c r="BY78" i="16"/>
  <c r="BZ86" i="8"/>
  <c r="BZ15" i="8"/>
  <c r="CE82" i="8" s="1"/>
  <c r="BY88" i="8"/>
  <c r="BL70" i="19"/>
  <c r="BL58" i="19"/>
  <c r="CA88" i="8" l="1"/>
  <c r="CB86" i="8"/>
  <c r="CA78" i="16"/>
  <c r="BN55" i="19"/>
  <c r="BM55" i="19"/>
  <c r="BM61" i="19"/>
  <c r="BM49" i="19"/>
  <c r="BN56" i="19"/>
  <c r="BM50" i="19"/>
  <c r="BM62" i="19"/>
  <c r="BM56" i="19"/>
  <c r="BZ87" i="8"/>
  <c r="BZ90" i="8"/>
  <c r="BZ88" i="8" s="1"/>
  <c r="BZ78" i="16"/>
  <c r="CB78" i="16" l="1"/>
  <c r="CB90" i="8"/>
  <c r="BM52" i="19"/>
  <c r="BO56" i="19"/>
  <c r="BO62" i="19"/>
  <c r="CB15" i="8" l="1"/>
  <c r="CC82" i="8" s="1"/>
  <c r="CB88" i="8"/>
  <c r="BG126" i="16"/>
  <c r="CC86" i="8" l="1"/>
  <c r="BO27" i="12"/>
  <c r="BO63" i="8" s="1"/>
  <c r="CC90" i="8" l="1"/>
  <c r="CC78" i="16"/>
  <c r="BO64" i="12"/>
  <c r="BO94" i="8"/>
  <c r="BO95" i="8" s="1"/>
  <c r="BO65" i="12"/>
  <c r="BO83" i="8"/>
  <c r="BO85" i="8" s="1"/>
  <c r="BO38" i="12"/>
  <c r="BO58" i="12" s="1"/>
  <c r="BO61" i="12" s="1"/>
  <c r="BQ60" i="12" s="1"/>
  <c r="CC15" i="8" l="1"/>
  <c r="CD82" i="8" s="1"/>
  <c r="CC88" i="8"/>
  <c r="BO68" i="12"/>
  <c r="BP83" i="8"/>
  <c r="BP94" i="8"/>
  <c r="CD86" i="8" l="1"/>
  <c r="CD90" i="8" s="1"/>
  <c r="CD15" i="8" s="1"/>
  <c r="CE15" i="8" s="1"/>
  <c r="BO67" i="5"/>
  <c r="BO91" i="12"/>
  <c r="BO70" i="12"/>
  <c r="BO69" i="12"/>
  <c r="BO71" i="12"/>
  <c r="BO65" i="8"/>
  <c r="BP95" i="8"/>
  <c r="BP85" i="8"/>
  <c r="CD88" i="8" l="1"/>
  <c r="CE86" i="8"/>
  <c r="CD78" i="16"/>
  <c r="BO68" i="5"/>
  <c r="BO94" i="12"/>
  <c r="BO72" i="12"/>
  <c r="BP65" i="12"/>
  <c r="BP38" i="12"/>
  <c r="BP63" i="8"/>
  <c r="CE87" i="8" l="1"/>
  <c r="CE90" i="8"/>
  <c r="CE88" i="8" s="1"/>
  <c r="CE78" i="16"/>
  <c r="BP58" i="12"/>
  <c r="BP61" i="12" s="1"/>
  <c r="BU60" i="12" s="1"/>
  <c r="BP64" i="12"/>
  <c r="BP68" i="12" s="1"/>
  <c r="BP91" i="12" s="1"/>
  <c r="BP65" i="8" l="1"/>
  <c r="BP67" i="5"/>
  <c r="BP69" i="12"/>
  <c r="BP71" i="12"/>
  <c r="BP94" i="12" l="1"/>
  <c r="BP68" i="5"/>
  <c r="BP72" i="12"/>
  <c r="BP79" i="16"/>
  <c r="BO96" i="8"/>
  <c r="BO100" i="8" l="1"/>
  <c r="BO98" i="8" s="1"/>
  <c r="BO97" i="8"/>
  <c r="BP96" i="8"/>
  <c r="BP100" i="8" l="1"/>
  <c r="BP98" i="8" s="1"/>
  <c r="BP97" i="8"/>
  <c r="BR81" i="16" l="1"/>
  <c r="BR70" i="16" l="1"/>
  <c r="BR73" i="16"/>
  <c r="BQ70" i="16"/>
  <c r="BQ85" i="16" s="1"/>
  <c r="BQ73" i="16"/>
  <c r="BQ71" i="16" l="1"/>
  <c r="BQ77" i="16"/>
  <c r="BS70" i="16"/>
  <c r="BS85" i="16" s="1"/>
  <c r="BS73" i="16"/>
  <c r="BR77" i="16"/>
  <c r="BR71" i="16"/>
  <c r="BR85" i="16"/>
  <c r="BQ74" i="16" l="1"/>
  <c r="BQ87" i="16"/>
  <c r="BQ94" i="16" s="1"/>
  <c r="BQ81" i="12" s="1"/>
  <c r="BS71" i="16"/>
  <c r="BR7" i="12"/>
  <c r="BR27" i="12" s="1"/>
  <c r="BR87" i="16"/>
  <c r="BR94" i="16" s="1"/>
  <c r="BQ7" i="12"/>
  <c r="BQ27" i="12" s="1"/>
  <c r="BQ63" i="8" s="1"/>
  <c r="BS77" i="16"/>
  <c r="BS74" i="16" s="1"/>
  <c r="BR74" i="16"/>
  <c r="BR64" i="12" l="1"/>
  <c r="BR68" i="12" s="1"/>
  <c r="BR65" i="8" s="1"/>
  <c r="BR63" i="8"/>
  <c r="BQ82" i="12"/>
  <c r="BQ64" i="12"/>
  <c r="BQ68" i="12" s="1"/>
  <c r="BQ58" i="12"/>
  <c r="BQ61" i="12" s="1"/>
  <c r="BQ98" i="16"/>
  <c r="BQ66" i="5" s="1"/>
  <c r="BQ87" i="12" s="1"/>
  <c r="BQ96" i="16"/>
  <c r="BQ65" i="5"/>
  <c r="BR96" i="16"/>
  <c r="BR65" i="5"/>
  <c r="BR98" i="16"/>
  <c r="BR66" i="5" s="1"/>
  <c r="BR87" i="12" s="1"/>
  <c r="BR81" i="12"/>
  <c r="BR97" i="16"/>
  <c r="BS7" i="12"/>
  <c r="BS27" i="12" s="1"/>
  <c r="BS63" i="8" s="1"/>
  <c r="BT93" i="8"/>
  <c r="BR91" i="12" l="1"/>
  <c r="BR85" i="12"/>
  <c r="BQ65" i="8"/>
  <c r="BQ91" i="12"/>
  <c r="BQ85" i="12"/>
  <c r="BR83" i="12"/>
  <c r="BR82" i="12"/>
  <c r="BS64" i="12"/>
  <c r="BS68" i="12" s="1"/>
  <c r="BS65" i="8" s="1"/>
  <c r="BR60" i="12"/>
  <c r="BQ71" i="12"/>
  <c r="BQ67" i="5"/>
  <c r="BQ70" i="12"/>
  <c r="BQ69" i="12"/>
  <c r="BR70" i="12"/>
  <c r="BR71" i="12"/>
  <c r="BR67" i="5"/>
  <c r="BR69" i="12"/>
  <c r="BS91" i="12" l="1"/>
  <c r="BQ94" i="12"/>
  <c r="BQ88" i="12"/>
  <c r="BR94" i="12"/>
  <c r="BR88" i="12"/>
  <c r="BS71" i="12"/>
  <c r="BS67" i="5"/>
  <c r="BS69" i="12"/>
  <c r="BS70" i="12"/>
  <c r="BQ72" i="12"/>
  <c r="BQ68" i="5"/>
  <c r="BR68" i="5"/>
  <c r="BR72" i="12"/>
  <c r="BQ47" i="8"/>
  <c r="BQ49" i="8" s="1"/>
  <c r="BQ50" i="8" s="1"/>
  <c r="BQ12" i="8"/>
  <c r="BQ23" i="8" s="1"/>
  <c r="BS94" i="12" l="1"/>
  <c r="BQ51" i="8"/>
  <c r="BQ45" i="8"/>
  <c r="BQ54" i="8" s="1"/>
  <c r="BR47" i="8"/>
  <c r="BR49" i="8" s="1"/>
  <c r="BR50" i="8" s="1"/>
  <c r="BR12" i="8"/>
  <c r="BR23" i="8" s="1"/>
  <c r="BS72" i="12"/>
  <c r="BS68" i="5"/>
  <c r="BR45" i="8" l="1"/>
  <c r="BR54" i="8" s="1"/>
  <c r="BR51" i="8"/>
  <c r="BP78" i="16" l="1"/>
  <c r="BO86" i="8"/>
  <c r="BO81" i="16" s="1"/>
  <c r="BO87" i="16" s="1"/>
  <c r="BO90" i="8" l="1"/>
  <c r="BO88" i="8" s="1"/>
  <c r="BP86" i="8"/>
  <c r="BO87" i="8"/>
  <c r="BP87" i="8" l="1"/>
  <c r="BP81" i="16"/>
  <c r="BP87" i="16" s="1"/>
  <c r="BP94" i="16" s="1"/>
  <c r="BP90" i="8"/>
  <c r="BP88" i="8" s="1"/>
  <c r="BP81" i="12" l="1"/>
  <c r="BP85" i="12" s="1"/>
  <c r="BP65" i="5"/>
  <c r="BP96" i="16"/>
  <c r="BP98" i="16"/>
  <c r="BP66" i="5" s="1"/>
  <c r="BP87" i="12" s="1"/>
  <c r="BP88" i="12" s="1"/>
  <c r="BP82" i="12" l="1"/>
  <c r="BO94" i="16"/>
  <c r="BQ97" i="16" l="1"/>
  <c r="BO81" i="12"/>
  <c r="BO65" i="5"/>
  <c r="BO97" i="16"/>
  <c r="BO96" i="16"/>
  <c r="BO98" i="16"/>
  <c r="BO66" i="5" s="1"/>
  <c r="BO87" i="12" s="1"/>
  <c r="BO88" i="12" s="1"/>
  <c r="BQ83" i="12" l="1"/>
  <c r="BO85" i="12"/>
  <c r="BO82" i="12"/>
  <c r="BO83" i="12"/>
  <c r="BP29" i="14"/>
  <c r="BP8" i="14"/>
  <c r="BO8" i="14" l="1"/>
  <c r="BO20" i="14" s="1"/>
  <c r="BU14" i="14"/>
  <c r="BP14" i="14"/>
  <c r="BP15" i="14"/>
  <c r="BP11" i="14"/>
  <c r="BO26" i="14" l="1"/>
  <c r="BO29" i="14" s="1"/>
  <c r="BO14" i="14"/>
  <c r="BO11" i="14"/>
  <c r="BQ23" i="14" s="1"/>
  <c r="BP17" i="14"/>
  <c r="BU17" i="14"/>
  <c r="BQ20" i="14"/>
  <c r="BT14" i="14"/>
  <c r="BP35" i="14"/>
  <c r="BO55" i="19"/>
  <c r="BO61" i="19"/>
  <c r="BO46" i="19"/>
  <c r="BP43" i="19"/>
  <c r="BO49" i="19"/>
  <c r="BO52" i="19" s="1"/>
  <c r="BO17" i="14" l="1"/>
  <c r="BO23" i="14"/>
  <c r="BT17" i="14"/>
  <c r="BO35" i="14"/>
  <c r="BP61" i="19"/>
  <c r="BU61" i="19"/>
  <c r="BO64" i="19"/>
  <c r="BT64" i="19"/>
  <c r="BQ58" i="19"/>
  <c r="BO70" i="19"/>
  <c r="BO58" i="19"/>
  <c r="BP46" i="19"/>
  <c r="BP70" i="19" l="1"/>
  <c r="BU64" i="19"/>
  <c r="BP64" i="19"/>
  <c r="BO136" i="16"/>
  <c r="BO164" i="16" l="1"/>
  <c r="BO163" i="16" s="1"/>
  <c r="BO166" i="16" s="1"/>
  <c r="BQ161" i="16"/>
  <c r="BQ163" i="16" s="1"/>
  <c r="BQ166" i="16" s="1"/>
  <c r="BQ141" i="16"/>
  <c r="BQ157" i="16"/>
  <c r="BO137" i="16"/>
  <c r="BO138" i="16"/>
  <c r="BQ143" i="16" s="1"/>
  <c r="BO152" i="16"/>
  <c r="BO141" i="16"/>
  <c r="BO139" i="16" l="1"/>
  <c r="BQ181" i="16"/>
  <c r="BQ192" i="16" s="1"/>
  <c r="BO181" i="16"/>
  <c r="BO187" i="16" s="1"/>
  <c r="BQ168" i="16"/>
  <c r="BQ167" i="16"/>
  <c r="BO168" i="16"/>
  <c r="BO167" i="16"/>
  <c r="BQ175" i="16"/>
  <c r="BQ176" i="16" s="1"/>
  <c r="BQ177" i="16" s="1"/>
  <c r="BQ142" i="16"/>
  <c r="BQ158" i="16"/>
  <c r="BO144" i="16"/>
  <c r="BQ144" i="16"/>
  <c r="BO158" i="16"/>
  <c r="BO175" i="16"/>
  <c r="BO176" i="16" s="1"/>
  <c r="BO142" i="16"/>
  <c r="BO153" i="16"/>
  <c r="BO143" i="16"/>
  <c r="BO159" i="16"/>
  <c r="BO183" i="16" l="1"/>
  <c r="BQ197" i="16"/>
  <c r="BQ182" i="16"/>
  <c r="BO197" i="16"/>
  <c r="BO200" i="16" s="1"/>
  <c r="BQ187" i="16"/>
  <c r="BQ190" i="16" s="1"/>
  <c r="BQ183" i="16"/>
  <c r="BO192" i="16"/>
  <c r="BQ195" i="16" s="1"/>
  <c r="BO182" i="16"/>
  <c r="BQ179" i="16"/>
  <c r="BQ178" i="16"/>
  <c r="BQ194" i="16"/>
  <c r="BO190" i="16"/>
  <c r="BO189" i="16"/>
  <c r="BO199" i="16"/>
  <c r="BO179" i="16"/>
  <c r="BO178" i="16"/>
  <c r="BO177" i="16"/>
  <c r="BQ200" i="16" l="1"/>
  <c r="BO195" i="16"/>
  <c r="BQ199" i="16"/>
  <c r="BO194" i="16"/>
  <c r="BQ189" i="16"/>
  <c r="BR94" i="8"/>
  <c r="BR95" i="8" s="1"/>
  <c r="BR38" i="12"/>
  <c r="BR58" i="12" s="1"/>
  <c r="BR61" i="12" s="1"/>
  <c r="BS60" i="12" s="1"/>
  <c r="BR100" i="8" l="1"/>
  <c r="BR98" i="8" s="1"/>
  <c r="BS47" i="8" l="1"/>
  <c r="BS49" i="8" s="1"/>
  <c r="BS50" i="8" s="1"/>
  <c r="BS12" i="8"/>
  <c r="BS23" i="8" s="1"/>
  <c r="BS51" i="8" l="1"/>
  <c r="BS45" i="8"/>
  <c r="BS54" i="8" s="1"/>
  <c r="BS81" i="16" l="1"/>
  <c r="BS87" i="16" s="1"/>
  <c r="BS94" i="16" s="1"/>
  <c r="BU18" i="8" l="1"/>
  <c r="BS97" i="16"/>
  <c r="BS65" i="5"/>
  <c r="BS96" i="16"/>
  <c r="BS98" i="16"/>
  <c r="BS66" i="5" s="1"/>
  <c r="BS87" i="12" s="1"/>
  <c r="BS88" i="12" s="1"/>
  <c r="BS81" i="12"/>
  <c r="BS83" i="12" l="1"/>
  <c r="BS82" i="12"/>
  <c r="BS85" i="12"/>
  <c r="BZ93" i="8"/>
  <c r="BS94" i="8" l="1"/>
  <c r="BS95" i="8" s="1"/>
  <c r="BS38" i="12"/>
  <c r="BS58" i="12"/>
  <c r="BS61" i="12" s="1"/>
  <c r="BT60" i="12" s="1"/>
  <c r="BS100" i="8" l="1"/>
  <c r="BS98" i="8" s="1"/>
  <c r="BT47" i="8" l="1"/>
  <c r="BT49" i="8" s="1"/>
  <c r="BT50" i="8" s="1"/>
  <c r="BT12" i="8"/>
  <c r="BT23" i="8" s="1"/>
  <c r="BU7" i="8"/>
  <c r="BU12" i="8" l="1"/>
  <c r="BU23" i="8" s="1"/>
  <c r="BU47" i="8"/>
  <c r="BU49" i="8" s="1"/>
  <c r="BU50" i="8" s="1"/>
  <c r="BT51" i="8"/>
  <c r="BU43" i="8"/>
  <c r="BT45" i="8"/>
  <c r="BT54" i="8" s="1"/>
  <c r="BU51" i="8" l="1"/>
  <c r="BU45" i="8"/>
  <c r="BU54" i="8" s="1"/>
  <c r="BT65" i="12" l="1"/>
  <c r="BT38" i="12"/>
  <c r="BT83" i="8"/>
  <c r="BT85" i="8" s="1"/>
  <c r="BU83" i="8" l="1"/>
  <c r="BU85" i="8" l="1"/>
  <c r="BU32" i="12"/>
  <c r="BU65" i="12" l="1"/>
  <c r="BV93" i="8" l="1"/>
  <c r="BV96" i="8"/>
  <c r="BT95" i="8"/>
  <c r="BU94" i="8"/>
  <c r="BU35" i="12"/>
  <c r="BU38" i="12"/>
  <c r="BV81" i="16" l="1"/>
  <c r="BV8" i="12" s="1"/>
  <c r="BV79" i="16"/>
  <c r="BV100" i="8"/>
  <c r="BV18" i="8" s="1"/>
  <c r="BW93" i="8" s="1"/>
  <c r="BV98" i="8"/>
  <c r="BU95" i="8"/>
  <c r="BU79" i="16"/>
  <c r="BT96" i="8"/>
  <c r="BU65" i="16"/>
  <c r="BU68" i="16"/>
  <c r="BW96" i="8" l="1"/>
  <c r="BW100" i="8"/>
  <c r="BW18" i="8" s="1"/>
  <c r="BX93" i="8" s="1"/>
  <c r="BW98" i="8"/>
  <c r="BV65" i="16"/>
  <c r="BU73" i="16"/>
  <c r="BU70" i="16"/>
  <c r="BT100" i="8"/>
  <c r="BT98" i="8" s="1"/>
  <c r="BT97" i="8"/>
  <c r="BT73" i="16"/>
  <c r="BU96" i="8"/>
  <c r="BT70" i="16"/>
  <c r="BV68" i="16" l="1"/>
  <c r="BX96" i="8"/>
  <c r="BX100" i="8"/>
  <c r="BX18" i="8" s="1"/>
  <c r="BY93" i="8" s="1"/>
  <c r="BX98" i="8"/>
  <c r="BW81" i="16"/>
  <c r="BW8" i="12" s="1"/>
  <c r="BW79" i="16"/>
  <c r="BT71" i="16"/>
  <c r="BT85" i="16"/>
  <c r="BU97" i="8"/>
  <c r="BU100" i="8"/>
  <c r="BU98" i="8" s="1"/>
  <c r="BU85" i="16"/>
  <c r="BU71" i="16"/>
  <c r="BT77" i="16"/>
  <c r="BT74" i="16" s="1"/>
  <c r="BU77" i="16"/>
  <c r="BW65" i="16" l="1"/>
  <c r="BY96" i="8"/>
  <c r="BY100" i="8" s="1"/>
  <c r="BX81" i="16"/>
  <c r="BX8" i="12" s="1"/>
  <c r="BX79" i="16"/>
  <c r="BX65" i="16" s="1"/>
  <c r="BX68" i="16" s="1"/>
  <c r="BV73" i="16"/>
  <c r="BV70" i="16"/>
  <c r="BU7" i="12"/>
  <c r="BU27" i="12" s="1"/>
  <c r="BU74" i="16"/>
  <c r="BT7" i="12"/>
  <c r="BT27" i="12" s="1"/>
  <c r="BY18" i="8" l="1"/>
  <c r="BY98" i="8"/>
  <c r="BV77" i="16"/>
  <c r="BV74" i="16"/>
  <c r="BV85" i="16"/>
  <c r="BV71" i="16"/>
  <c r="BX70" i="16"/>
  <c r="BX73" i="16"/>
  <c r="BX77" i="16" s="1"/>
  <c r="CA93" i="8"/>
  <c r="BZ18" i="8"/>
  <c r="CE93" i="8" s="1"/>
  <c r="BY81" i="16"/>
  <c r="BY8" i="12" s="1"/>
  <c r="BY79" i="16"/>
  <c r="BY65" i="16" s="1"/>
  <c r="BY68" i="16" s="1"/>
  <c r="BZ96" i="8"/>
  <c r="BZ79" i="16"/>
  <c r="BW68" i="16"/>
  <c r="BZ65" i="16"/>
  <c r="BT63" i="8"/>
  <c r="BT58" i="12"/>
  <c r="BT61" i="12" s="1"/>
  <c r="BV60" i="12" s="1"/>
  <c r="BT64" i="12"/>
  <c r="BT68" i="12" s="1"/>
  <c r="BU64" i="12"/>
  <c r="BU68" i="12" s="1"/>
  <c r="BU63" i="8"/>
  <c r="BU58" i="12"/>
  <c r="BU61" i="12" s="1"/>
  <c r="BZ60" i="12" s="1"/>
  <c r="BW70" i="16" l="1"/>
  <c r="BW73" i="16"/>
  <c r="BZ68" i="16"/>
  <c r="BZ97" i="8"/>
  <c r="BZ81" i="16"/>
  <c r="BZ8" i="12" s="1"/>
  <c r="BZ100" i="8"/>
  <c r="BZ98" i="8" s="1"/>
  <c r="BX74" i="16"/>
  <c r="BX7" i="12"/>
  <c r="BX27" i="12" s="1"/>
  <c r="BY70" i="16"/>
  <c r="BY73" i="16"/>
  <c r="CA96" i="8"/>
  <c r="CA100" i="8"/>
  <c r="CA18" i="8" s="1"/>
  <c r="CB93" i="8" s="1"/>
  <c r="BX85" i="16"/>
  <c r="BX87" i="16" s="1"/>
  <c r="BX94" i="16" s="1"/>
  <c r="BX71" i="16"/>
  <c r="BV7" i="12"/>
  <c r="BV27" i="12" s="1"/>
  <c r="BV87" i="16"/>
  <c r="BV94" i="16" s="1"/>
  <c r="BU69" i="12"/>
  <c r="BU65" i="8"/>
  <c r="BU71" i="12"/>
  <c r="BU91" i="12"/>
  <c r="BU67" i="5"/>
  <c r="BT71" i="12"/>
  <c r="BT67" i="5"/>
  <c r="BT91" i="12"/>
  <c r="BT69" i="12"/>
  <c r="BT70" i="12"/>
  <c r="BT65" i="8"/>
  <c r="CB96" i="8" l="1"/>
  <c r="CB100" i="8"/>
  <c r="CB18" i="8" s="1"/>
  <c r="CC93" i="8" s="1"/>
  <c r="CB98" i="8"/>
  <c r="BY77" i="16"/>
  <c r="BY7" i="12" s="1"/>
  <c r="BY27" i="12" s="1"/>
  <c r="BY74" i="16"/>
  <c r="CA98" i="8"/>
  <c r="BX64" i="12"/>
  <c r="BX68" i="12" s="1"/>
  <c r="BX58" i="12"/>
  <c r="BX63" i="8"/>
  <c r="BZ73" i="16"/>
  <c r="BZ70" i="16"/>
  <c r="CA81" i="16"/>
  <c r="CA8" i="12" s="1"/>
  <c r="CA79" i="16"/>
  <c r="BV96" i="16"/>
  <c r="BV81" i="12"/>
  <c r="BV82" i="12" s="1"/>
  <c r="BV98" i="16"/>
  <c r="BV66" i="5" s="1"/>
  <c r="BV87" i="12" s="1"/>
  <c r="BV65" i="5"/>
  <c r="BW77" i="16"/>
  <c r="BW74" i="16"/>
  <c r="BY85" i="16"/>
  <c r="BY87" i="16" s="1"/>
  <c r="BY94" i="16" s="1"/>
  <c r="BY71" i="16"/>
  <c r="BV64" i="12"/>
  <c r="BV68" i="12" s="1"/>
  <c r="BV63" i="8"/>
  <c r="BV58" i="12"/>
  <c r="BV61" i="12" s="1"/>
  <c r="BX81" i="12"/>
  <c r="BX98" i="16"/>
  <c r="BX66" i="5" s="1"/>
  <c r="BX87" i="12" s="1"/>
  <c r="BX96" i="16"/>
  <c r="BX65" i="5"/>
  <c r="BW85" i="16"/>
  <c r="BW71" i="16"/>
  <c r="BU94" i="12"/>
  <c r="BU68" i="5"/>
  <c r="BU72" i="12"/>
  <c r="BT68" i="5"/>
  <c r="BT94" i="12"/>
  <c r="BT72" i="12"/>
  <c r="BX85" i="12" l="1"/>
  <c r="BX82" i="12"/>
  <c r="BZ77" i="16"/>
  <c r="BZ74" i="16"/>
  <c r="BV7" i="8"/>
  <c r="BW60" i="12"/>
  <c r="BZ71" i="16"/>
  <c r="BZ85" i="16"/>
  <c r="BV71" i="12"/>
  <c r="BV67" i="5"/>
  <c r="BV85" i="12"/>
  <c r="BV91" i="12"/>
  <c r="BV69" i="12"/>
  <c r="BV65" i="8"/>
  <c r="BV70" i="12"/>
  <c r="CA65" i="16"/>
  <c r="BX65" i="8"/>
  <c r="BX91" i="12"/>
  <c r="BX69" i="12"/>
  <c r="BX67" i="5"/>
  <c r="BX71" i="12"/>
  <c r="BY81" i="12"/>
  <c r="BY83" i="12" s="1"/>
  <c r="BY65" i="5"/>
  <c r="BY98" i="16"/>
  <c r="BY66" i="5" s="1"/>
  <c r="BY87" i="12" s="1"/>
  <c r="BY97" i="16"/>
  <c r="BW7" i="12"/>
  <c r="BW27" i="12" s="1"/>
  <c r="BW87" i="16"/>
  <c r="BW94" i="16" s="1"/>
  <c r="BY58" i="12"/>
  <c r="BY64" i="12"/>
  <c r="BY68" i="12" s="1"/>
  <c r="BY63" i="8"/>
  <c r="CC96" i="8"/>
  <c r="CC100" i="8" s="1"/>
  <c r="CC18" i="8" s="1"/>
  <c r="CD93" i="8" s="1"/>
  <c r="CB81" i="16"/>
  <c r="CB8" i="12" s="1"/>
  <c r="CB79" i="16"/>
  <c r="BW81" i="12" l="1"/>
  <c r="BW96" i="16"/>
  <c r="BW98" i="16"/>
  <c r="BW66" i="5" s="1"/>
  <c r="BW87" i="12" s="1"/>
  <c r="BW65" i="5"/>
  <c r="BX97" i="16"/>
  <c r="BW97" i="16"/>
  <c r="BX94" i="12"/>
  <c r="BX88" i="12"/>
  <c r="BX72" i="12"/>
  <c r="BX68" i="5"/>
  <c r="BV47" i="8"/>
  <c r="BV49" i="8" s="1"/>
  <c r="BV50" i="8" s="1"/>
  <c r="BV12" i="8"/>
  <c r="BV23" i="8" s="1"/>
  <c r="BV43" i="8" s="1"/>
  <c r="BV72" i="12"/>
  <c r="BV88" i="12"/>
  <c r="BV68" i="5"/>
  <c r="BV94" i="12"/>
  <c r="CD96" i="8"/>
  <c r="CD100" i="8"/>
  <c r="CD18" i="8" s="1"/>
  <c r="CE18" i="8" s="1"/>
  <c r="CD98" i="8"/>
  <c r="CB65" i="16"/>
  <c r="CB68" i="16" s="1"/>
  <c r="BY91" i="12"/>
  <c r="BY67" i="5"/>
  <c r="BY71" i="12"/>
  <c r="BY70" i="12"/>
  <c r="BY85" i="12"/>
  <c r="BY65" i="8"/>
  <c r="BY69" i="12"/>
  <c r="BW58" i="12"/>
  <c r="BW61" i="12" s="1"/>
  <c r="BW63" i="8"/>
  <c r="BW64" i="12"/>
  <c r="BW68" i="12" s="1"/>
  <c r="CC98" i="8"/>
  <c r="BZ7" i="12"/>
  <c r="BZ27" i="12" s="1"/>
  <c r="BZ87" i="16"/>
  <c r="BZ94" i="16" s="1"/>
  <c r="CC81" i="16"/>
  <c r="CC8" i="12" s="1"/>
  <c r="CC79" i="16"/>
  <c r="CE96" i="8"/>
  <c r="CA68" i="16"/>
  <c r="BW7" i="8" l="1"/>
  <c r="BX60" i="12"/>
  <c r="BX61" i="12" s="1"/>
  <c r="BW71" i="12"/>
  <c r="BW69" i="12"/>
  <c r="BW67" i="5"/>
  <c r="BW85" i="12"/>
  <c r="BW91" i="12"/>
  <c r="BW65" i="8"/>
  <c r="BW70" i="12"/>
  <c r="BX70" i="12"/>
  <c r="BV51" i="8"/>
  <c r="BV45" i="8"/>
  <c r="BV54" i="8" s="1"/>
  <c r="CE97" i="8"/>
  <c r="CE81" i="16"/>
  <c r="CE8" i="12" s="1"/>
  <c r="CE100" i="8"/>
  <c r="CE98" i="8" s="1"/>
  <c r="CC65" i="16"/>
  <c r="BY94" i="12"/>
  <c r="BY88" i="12"/>
  <c r="BY68" i="5"/>
  <c r="BY72" i="12"/>
  <c r="CA73" i="16"/>
  <c r="CA77" i="16" s="1"/>
  <c r="CA70" i="16"/>
  <c r="CB73" i="16"/>
  <c r="CB70" i="16"/>
  <c r="BZ81" i="12"/>
  <c r="BZ98" i="16"/>
  <c r="BZ66" i="5" s="1"/>
  <c r="BZ87" i="12" s="1"/>
  <c r="BZ65" i="5"/>
  <c r="BZ63" i="8"/>
  <c r="BZ58" i="12"/>
  <c r="BZ61" i="12" s="1"/>
  <c r="CE60" i="12" s="1"/>
  <c r="BZ64" i="12"/>
  <c r="BZ68" i="12" s="1"/>
  <c r="CD79" i="16"/>
  <c r="CD81" i="16"/>
  <c r="CD8" i="12" s="1"/>
  <c r="BW82" i="12"/>
  <c r="BW83" i="12"/>
  <c r="BX83" i="12"/>
  <c r="CC68" i="16" l="1"/>
  <c r="CB71" i="16"/>
  <c r="CB85" i="16"/>
  <c r="BZ65" i="8"/>
  <c r="BZ91" i="12"/>
  <c r="BZ71" i="12"/>
  <c r="BZ67" i="5"/>
  <c r="BZ85" i="12"/>
  <c r="BZ69" i="12"/>
  <c r="CB77" i="16"/>
  <c r="CB74" i="16"/>
  <c r="CA85" i="16"/>
  <c r="CA87" i="16" s="1"/>
  <c r="CA94" i="16" s="1"/>
  <c r="CA71" i="16"/>
  <c r="CA74" i="16"/>
  <c r="CA7" i="12"/>
  <c r="CA27" i="12" s="1"/>
  <c r="BW94" i="12"/>
  <c r="BW72" i="12"/>
  <c r="BW68" i="5"/>
  <c r="BW88" i="12"/>
  <c r="BY60" i="12"/>
  <c r="BY61" i="12" s="1"/>
  <c r="BX7" i="8"/>
  <c r="CD65" i="16"/>
  <c r="CD68" i="16" s="1"/>
  <c r="CE79" i="16"/>
  <c r="BW12" i="8"/>
  <c r="BW23" i="8" s="1"/>
  <c r="BW43" i="8" s="1"/>
  <c r="BW47" i="8"/>
  <c r="BW49" i="8" s="1"/>
  <c r="BW50" i="8" s="1"/>
  <c r="BW51" i="8" l="1"/>
  <c r="BW45" i="8"/>
  <c r="BW54" i="8" s="1"/>
  <c r="CA98" i="16"/>
  <c r="CA66" i="5" s="1"/>
  <c r="CA87" i="12" s="1"/>
  <c r="CA81" i="12"/>
  <c r="CA65" i="5"/>
  <c r="CA97" i="16"/>
  <c r="CA96" i="16"/>
  <c r="CD73" i="16"/>
  <c r="CD70" i="16"/>
  <c r="CA60" i="12"/>
  <c r="BY7" i="8"/>
  <c r="CE65" i="16"/>
  <c r="CB7" i="12"/>
  <c r="CB27" i="12" s="1"/>
  <c r="CB87" i="16"/>
  <c r="CB94" i="16" s="1"/>
  <c r="BZ88" i="12"/>
  <c r="BZ68" i="5"/>
  <c r="BZ72" i="12"/>
  <c r="BZ94" i="12"/>
  <c r="BX47" i="8"/>
  <c r="BX49" i="8" s="1"/>
  <c r="BX50" i="8" s="1"/>
  <c r="BX12" i="8"/>
  <c r="BX23" i="8" s="1"/>
  <c r="BX43" i="8" s="1"/>
  <c r="CC73" i="16"/>
  <c r="CC77" i="16" s="1"/>
  <c r="CC70" i="16"/>
  <c r="CE68" i="16"/>
  <c r="CA63" i="8"/>
  <c r="CA64" i="12"/>
  <c r="CA68" i="12" s="1"/>
  <c r="CA58" i="12"/>
  <c r="CA61" i="12" l="1"/>
  <c r="CB58" i="12"/>
  <c r="CB63" i="8"/>
  <c r="CB64" i="12"/>
  <c r="CB68" i="12" s="1"/>
  <c r="BY12" i="8"/>
  <c r="BY23" i="8" s="1"/>
  <c r="BY43" i="8" s="1"/>
  <c r="BZ7" i="8"/>
  <c r="BY47" i="8"/>
  <c r="BY49" i="8" s="1"/>
  <c r="BY50" i="8" s="1"/>
  <c r="CD71" i="16"/>
  <c r="CD85" i="16"/>
  <c r="CD87" i="16" s="1"/>
  <c r="CD94" i="16" s="1"/>
  <c r="BX51" i="8"/>
  <c r="BX45" i="8"/>
  <c r="BX54" i="8" s="1"/>
  <c r="CA82" i="12"/>
  <c r="CA83" i="12"/>
  <c r="CB98" i="16"/>
  <c r="CB66" i="5" s="1"/>
  <c r="CB87" i="12" s="1"/>
  <c r="CB96" i="16"/>
  <c r="CB65" i="5"/>
  <c r="CB81" i="12"/>
  <c r="CB97" i="16"/>
  <c r="CD77" i="16"/>
  <c r="CD7" i="12" s="1"/>
  <c r="CD27" i="12" s="1"/>
  <c r="CD74" i="16"/>
  <c r="CC85" i="16"/>
  <c r="CC87" i="16" s="1"/>
  <c r="CC94" i="16" s="1"/>
  <c r="CC71" i="16"/>
  <c r="CA67" i="5"/>
  <c r="CA69" i="12"/>
  <c r="CA65" i="8"/>
  <c r="CA71" i="12"/>
  <c r="CA91" i="12"/>
  <c r="CA85" i="12"/>
  <c r="CA70" i="12"/>
  <c r="CE73" i="16"/>
  <c r="CE77" i="16" s="1"/>
  <c r="CE70" i="16"/>
  <c r="CC74" i="16"/>
  <c r="CC7" i="12"/>
  <c r="CC27" i="12" s="1"/>
  <c r="CC96" i="16" l="1"/>
  <c r="CC97" i="16"/>
  <c r="CC81" i="12"/>
  <c r="CC98" i="16"/>
  <c r="CC66" i="5" s="1"/>
  <c r="CC87" i="12" s="1"/>
  <c r="CC65" i="5"/>
  <c r="CD98" i="16"/>
  <c r="CD66" i="5" s="1"/>
  <c r="CD87" i="12" s="1"/>
  <c r="CD65" i="5"/>
  <c r="CD81" i="12"/>
  <c r="CD96" i="16"/>
  <c r="CD97" i="16"/>
  <c r="BY45" i="8"/>
  <c r="BY54" i="8" s="1"/>
  <c r="BY51" i="8"/>
  <c r="BZ43" i="8"/>
  <c r="CE71" i="16"/>
  <c r="CE85" i="16"/>
  <c r="CE87" i="16" s="1"/>
  <c r="CE94" i="16" s="1"/>
  <c r="BZ12" i="8"/>
  <c r="BZ23" i="8" s="1"/>
  <c r="BZ47" i="8"/>
  <c r="BZ49" i="8" s="1"/>
  <c r="BZ50" i="8" s="1"/>
  <c r="CD64" i="12"/>
  <c r="CD68" i="12" s="1"/>
  <c r="CD63" i="8"/>
  <c r="CD58" i="12"/>
  <c r="CE74" i="16"/>
  <c r="CE7" i="12"/>
  <c r="CE27" i="12" s="1"/>
  <c r="CA94" i="12"/>
  <c r="CA88" i="12"/>
  <c r="CA68" i="5"/>
  <c r="CA72" i="12"/>
  <c r="CB70" i="12"/>
  <c r="CB91" i="12"/>
  <c r="CB65" i="8"/>
  <c r="CB71" i="12"/>
  <c r="CB69" i="12"/>
  <c r="CB67" i="5"/>
  <c r="CC63" i="8"/>
  <c r="CC58" i="12"/>
  <c r="CC64" i="12"/>
  <c r="CC68" i="12" s="1"/>
  <c r="CB85" i="12"/>
  <c r="CB82" i="12"/>
  <c r="CB83" i="12"/>
  <c r="CA7" i="8"/>
  <c r="CB60" i="12"/>
  <c r="CB61" i="12" s="1"/>
  <c r="CE65" i="5" l="1"/>
  <c r="CE96" i="16"/>
  <c r="CE81" i="12"/>
  <c r="CE82" i="12" s="1"/>
  <c r="CE98" i="16"/>
  <c r="CE66" i="5" s="1"/>
  <c r="CE87" i="12" s="1"/>
  <c r="CB94" i="12"/>
  <c r="CB88" i="12"/>
  <c r="CB72" i="12"/>
  <c r="CB68" i="5"/>
  <c r="CA47" i="8"/>
  <c r="CA49" i="8" s="1"/>
  <c r="CA50" i="8" s="1"/>
  <c r="CA12" i="8"/>
  <c r="CA23" i="8" s="1"/>
  <c r="CA43" i="8" s="1"/>
  <c r="CD82" i="12"/>
  <c r="CD83" i="12"/>
  <c r="CE63" i="8"/>
  <c r="CE58" i="12"/>
  <c r="CE61" i="12" s="1"/>
  <c r="CE64" i="12"/>
  <c r="CE68" i="12" s="1"/>
  <c r="CC82" i="12"/>
  <c r="CC83" i="12"/>
  <c r="BZ51" i="8"/>
  <c r="BZ45" i="8"/>
  <c r="BZ54" i="8" s="1"/>
  <c r="CB7" i="8"/>
  <c r="CC60" i="12"/>
  <c r="CC61" i="12" s="1"/>
  <c r="CC65" i="8"/>
  <c r="CC91" i="12"/>
  <c r="CC70" i="12"/>
  <c r="CC71" i="12"/>
  <c r="CC67" i="5"/>
  <c r="CC85" i="12"/>
  <c r="CC69" i="12"/>
  <c r="CD85" i="12"/>
  <c r="CD91" i="12"/>
  <c r="CD65" i="8"/>
  <c r="CD69" i="12"/>
  <c r="CD70" i="12"/>
  <c r="CD71" i="12"/>
  <c r="CD67" i="5"/>
  <c r="BU78" i="16"/>
  <c r="BT86" i="8"/>
  <c r="BT90" i="8" s="1"/>
  <c r="BT88" i="8" s="1"/>
  <c r="CA51" i="8" l="1"/>
  <c r="CA45" i="8"/>
  <c r="CA54" i="8" s="1"/>
  <c r="CC68" i="5"/>
  <c r="CC72" i="12"/>
  <c r="CC88" i="12"/>
  <c r="CC94" i="12"/>
  <c r="CB12" i="8"/>
  <c r="CB23" i="8" s="1"/>
  <c r="CB43" i="8" s="1"/>
  <c r="CB47" i="8"/>
  <c r="CB49" i="8" s="1"/>
  <c r="CB50" i="8" s="1"/>
  <c r="CE69" i="12"/>
  <c r="CE65" i="8"/>
  <c r="CE67" i="5"/>
  <c r="CE85" i="12"/>
  <c r="CE71" i="12"/>
  <c r="CE91" i="12"/>
  <c r="CD60" i="12"/>
  <c r="CD61" i="12" s="1"/>
  <c r="CD7" i="8" s="1"/>
  <c r="CC7" i="8"/>
  <c r="CD72" i="12"/>
  <c r="CD88" i="12"/>
  <c r="CD68" i="5"/>
  <c r="CD94" i="12"/>
  <c r="BU86" i="8"/>
  <c r="BU90" i="8" s="1"/>
  <c r="BU81" i="16"/>
  <c r="BU87" i="16" s="1"/>
  <c r="BU94" i="16" s="1"/>
  <c r="BU88" i="8"/>
  <c r="BU87" i="8"/>
  <c r="BT81" i="16"/>
  <c r="BT87" i="16" s="1"/>
  <c r="BT94" i="16" s="1"/>
  <c r="BT87" i="8"/>
  <c r="CC47" i="8" l="1"/>
  <c r="CC49" i="8" s="1"/>
  <c r="CC50" i="8" s="1"/>
  <c r="CC12" i="8"/>
  <c r="CC23" i="8" s="1"/>
  <c r="CC43" i="8" s="1"/>
  <c r="CD12" i="8"/>
  <c r="CD23" i="8" s="1"/>
  <c r="CD43" i="8" s="1"/>
  <c r="CE7" i="8"/>
  <c r="CD47" i="8"/>
  <c r="CD49" i="8" s="1"/>
  <c r="CD50" i="8" s="1"/>
  <c r="CE68" i="5"/>
  <c r="CE88" i="12"/>
  <c r="CE94" i="12"/>
  <c r="CE72" i="12"/>
  <c r="CB51" i="8"/>
  <c r="CB45" i="8"/>
  <c r="CB54" i="8" s="1"/>
  <c r="BU96" i="16"/>
  <c r="BU65" i="5"/>
  <c r="BZ96" i="16"/>
  <c r="BU98" i="16"/>
  <c r="BU66" i="5" s="1"/>
  <c r="BU87" i="12" s="1"/>
  <c r="BU88" i="12" s="1"/>
  <c r="BU81" i="12"/>
  <c r="BY96" i="16"/>
  <c r="BT65" i="5"/>
  <c r="BT98" i="16"/>
  <c r="BT66" i="5" s="1"/>
  <c r="BT87" i="12" s="1"/>
  <c r="BT88" i="12" s="1"/>
  <c r="BV97" i="16"/>
  <c r="BT96" i="16"/>
  <c r="BT97" i="16"/>
  <c r="BT81" i="12"/>
  <c r="CE47" i="8" l="1"/>
  <c r="CE49" i="8" s="1"/>
  <c r="CE50" i="8" s="1"/>
  <c r="CE12" i="8"/>
  <c r="CE23" i="8" s="1"/>
  <c r="CC45" i="8"/>
  <c r="CC54" i="8" s="1"/>
  <c r="CC51" i="8"/>
  <c r="CE43" i="8"/>
  <c r="CD51" i="8"/>
  <c r="CD45" i="8"/>
  <c r="CD54" i="8" s="1"/>
  <c r="BU85" i="12"/>
  <c r="BU82" i="12"/>
  <c r="BZ82" i="12"/>
  <c r="BT82" i="12"/>
  <c r="BY82" i="12"/>
  <c r="BT85" i="12"/>
  <c r="BV83" i="12"/>
  <c r="BT83" i="12"/>
  <c r="CE45" i="8" l="1"/>
  <c r="CE54" i="8" s="1"/>
  <c r="CE5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Calitri, Matthew</author>
  </authors>
  <commentList>
    <comment ref="A1" authorId="0" shapeId="0" xr:uid="{ACBCC2A4-6F8D-4552-A6C0-3564985D40B8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Timestamp="1746571674"&gt;&lt;FQL&gt;&lt;Q&gt;QLYS-US^FE_ESTIMATE(NET_INC_REP,MEAN,QUARTERLY,-2,NOW,,,'')&lt;/Q&gt;&lt;R&gt;1&lt;/R&gt;&lt;C&gt;1&lt;/C&gt;&lt;D xsi:type="xsd:double"&gt;2.857&lt;/D&gt;&lt;/FQL&gt;&lt;FQL&gt;&lt;Q&gt;QLYS-US^FE_ESTIMATE(NET_INC_REP,MEAN,ANNUAL,0,NOW,,,'')&lt;/Q&gt;&lt;R&gt;1&lt;/R&gt;&lt;C&gt;1&lt;/C&gt;&lt;D xsi:type="xsd:double"&gt;40.44&lt;/D&gt;&lt;/FQL&gt;&lt;FQL&gt;&lt;Q&gt;QLYS-US^FE_ESTIMATE(NET_INC_REP,MEAN,QUARTERLY,-1,NOW,,,'')&lt;/Q&gt;&lt;R&gt;1&lt;/R&gt;&lt;C&gt;1&lt;/C&gt;&lt;D xsi:type="xsd:double"&gt;9.142&lt;/D&gt;&lt;/FQL&gt;&lt;FQL&gt;&lt;Q&gt;QLYS-US^FE_ESTIMATE(NET_INC_REP,MEAN,QUARTERLY,0,NOW,,,'')&lt;/Q&gt;&lt;R&gt;1&lt;/R&gt;&lt;C&gt;1&lt;/C&gt;&lt;D xsi:type="xsd:double"&gt;10.293&lt;/D&gt;&lt;/FQL&gt;&lt;FQL&gt;&lt;Q&gt;QLYS-US^FE_ESTIMATE(NET_INC_REP,MEAN,QUARTERLY,+1,NOW,,,'')&lt;/Q&gt;&lt;R&gt;1&lt;/R&gt;&lt;C&gt;1&lt;/C&gt;&lt;D xsi:type="xsd:double"&gt;8.469&lt;/D&gt;&lt;/FQL&gt;&lt;FQL&gt;&lt;Q&gt;QLYS-US^FE_ESTIMATE(NET_INC_REP,MEAN,QUARTERLY,+2,NOW,,,'')&lt;/Q&gt;&lt;R&gt;1&lt;/R&gt;&lt;C&gt;1&lt;/C&gt;&lt;D xsi:type="xsd:double"&gt;7.762&lt;/D&gt;&lt;/FQL&gt;&lt;FQL&gt;&lt;Q&gt;QLYS-US^FE_ESTIMATE(NET_INC_REP,MEAN,ANNUAL,+1,NOW,,,'')&lt;/Q&gt;&lt;R&gt;1&lt;/R&gt;&lt;C&gt;1&lt;/C&gt;&lt;D xsi:type="xsd:double"&gt;37.2757&lt;/D&gt;&lt;/FQL&gt;&lt;FQL&gt;&lt;Q&gt;QLYS-US^FE_ESTIMATE(DEP_AMORT_EXP,MEAN,QUARTERLY,+1,NOW,,,'')&lt;/Q&gt;&lt;R&gt;1&lt;/R&gt;&lt;C&gt;1&lt;/C&gt;&lt;D xsi:type="xsd:double"&gt;6.3898&lt;/D&gt;&lt;/FQL&gt;&lt;FQL&gt;&lt;Q&gt;QLYS-US^FE_ESTIMATE(DEP_AMORT_EXP,MEAN,QUARTERLY,+2,NOW,,,'')&lt;/Q&gt;&lt;R&gt;1&lt;/R&gt;&lt;C&gt;1&lt;/C&gt;&lt;D xsi:type="xsd:double"&gt;6.4968&lt;/D&gt;&lt;/FQL&gt;&lt;FQL&gt;&lt;Q&gt;QLYS-US^FE_ESTIMATE(DEP_AMORT_EXP,MEAN,ANNUAL,+1,NOW,,,'')&lt;/Q&gt;&lt;R&gt;1&lt;/R&gt;&lt;C&gt;1&lt;/C&gt;&lt;D xsi:type="xsd:double"&gt;26.765333&lt;/D&gt;&lt;/FQL&gt;&lt;FQL&gt;&lt;Q&gt;QLYS-US^FE_ESTIMATE(INT_EXP,MEAN,QUARTERLY,-1,NOW,,,'')&lt;/Q&gt;&lt;R&gt;1&lt;/R&gt;&lt;C&gt;1&lt;/C&gt;&lt;D xsi:type="xsd:double"&gt;0.025333334&lt;/D&gt;&lt;/FQL&gt;&lt;FQL&gt;&lt;Q&gt;QLYS-US^FE_ESTIMATE(INT_EXP,MEAN,QUARTERLY,0,NOW,,,'')&lt;/Q&gt;&lt;R&gt;1&lt;/R&gt;&lt;C&gt;1&lt;/C&gt;&lt;D xsi:type="xsd:double"&gt;0.0385&lt;/D&gt;&lt;/FQL&gt;&lt;FQL&gt;&lt;Q&gt;QLYS-US^FE_ESTIMATE(INT_EXP,MEAN,QUARTERLY,+1,NOW,,,'')&lt;/Q&gt;&lt;R&gt;1&lt;/R&gt;&lt;C&gt;1&lt;/C&gt;&lt;D xsi:type="xsd:double"&gt;0.038&lt;/D&gt;&lt;/FQL&gt;&lt;FQL&gt;&lt;Q&gt;QLYS-US^FE_ESTIMATE(INT_EXP,MEAN,QUARTERLY,+2,NOW,,,'')&lt;/Q&gt;&lt;R&gt;1&lt;/R&gt;&lt;C&gt;1&lt;/C&gt;&lt;D xsi:type="xsd:double"&gt;0.038&lt;/D&gt;&lt;/FQL&gt;&lt;FQL&gt;&lt;Q&gt;QLYS-US^FE_ESTIMATE(INT_EXP,MEAN,ANNUAL,+1,NOW,,,'')&lt;/Q&gt;&lt;R&gt;1&lt;/R&gt;&lt;C&gt;1&lt;/C&gt;&lt;D xsi:type="xsd:double"&gt;0.1145&lt;/D&gt;&lt;/FQL&gt;&lt;FQL&gt;&lt;Q&gt;QLYS-US^FE_ESTIMATE(INC_TAX,MEAN,QUARTERLY,-2,NOW,,,'')&lt;/Q&gt;&lt;R&gt;1&lt;/R&gt;&lt;C&gt;1&lt;/C&gt;&lt;D xsi:type="xsd:double"&gt;6.287&lt;/D&gt;&lt;/FQL&gt;&lt;FQL&gt;&lt;Q&gt;QLYS-US^FE_ESTIMATE(INC_TAX,MEAN,ANNUAL,0,NOW,,,'')&lt;/Q&gt;&lt;R&gt;1&lt;/R&gt;&lt;C&gt;1&lt;/C&gt;&lt;D xsi:type="xsd:double"&gt;23.373167&lt;/D&gt;&lt;/FQL&gt;&lt;FQL&gt;&lt;Q&gt;QLYS-US^FE_ESTIMATE(INC_TAX,MEAN,QUARTERLY,-1,NOW,,,'')&lt;/Q&gt;&lt;R&gt;1&lt;/R&gt;&lt;C&gt;1&lt;/C&gt;&lt;D xsi:type="xsd:double"&gt;4.080091&lt;/D&gt;&lt;/FQL&gt;&lt;FQL&gt;&lt;Q&gt;QLYS-US^FE_ESTIMATE(INC_TAX,MEAN,QUARTERLY,0,NOW,,,'')&lt;/Q&gt;&lt;R&gt;1&lt;/R&gt;&lt;C&gt;1&lt;/C&gt;&lt;D xsi:type="xsd:double"&gt;4.8307776&lt;/D&gt;&lt;/FQL&gt;&lt;FQL&gt;&lt;Q&gt;QLYS-US^FE_ESTIMATE(INC_TAX,MEAN,QUARTERLY,+1,NOW,,,'')&lt;/Q&gt;&lt;R&gt;1&lt;/R&gt;&lt;C&gt;1&lt;/C&gt;&lt;D xsi:type="xsd:double"&gt;4.8972&lt;/D&gt;&lt;/FQL&gt;&lt;FQL&gt;&lt;Q&gt;QLYS-US^FE_ESTIMATE(INC_TAX,MEAN,QUARTERLY,+2,NOW,,,'')&lt;/Q&gt;&lt;R&gt;1&lt;/R&gt;&lt;C&gt;1&lt;/C&gt;&lt;D xsi:type="xsd:double"&gt;4.7179&lt;/D&gt;&lt;/FQL&gt;&lt;FQL&gt;&lt;Q&gt;QLYS-US^FE_ESTIMATE(INC_TAX,MEAN,ANNUAL,+1,NOW,,,'')&lt;/Q&gt;&lt;R&gt;1&lt;/R&gt;&lt;C&gt;1&lt;/C&gt;&lt;D xsi:type="xsd:double"&gt;18.992445&lt;/D&gt;&lt;/FQL&gt;&lt;FQL&gt;&lt;Q&gt;QLYS-US^FE_ESTIMATE(NET_INC_REP,MEAN,ANNUAL,+2,NOW,,,'')&lt;/Q&gt;&lt;R&gt;1&lt;/R&gt;&lt;C&gt;1&lt;/C&gt;&lt;D xsi:type="xsd:double"&gt;44.1436&lt;/D&gt;&lt;/FQL&gt;&lt;FQL&gt;&lt;Q&gt;QLYS-US^FE_ESTIMATE(DEP_AMORT_EXP,MEAN,ANNUAL,+2,NOW,,,'')&lt;/Q&gt;&lt;R&gt;1&lt;/R&gt;&lt;C&gt;1&lt;/C&gt;&lt;D xsi:type="xsd:double"&gt;29.087166&lt;/D&gt;&lt;/FQL&gt;&lt;FQL&gt;&lt;Q&gt;QLYS-US^FE_ESTIMATE(INT_EXP,MEAN,ANNUAL,+2,NOW,,,'')&lt;/Q&gt;&lt;R&gt;1&lt;/R&gt;&lt;C&gt;1&lt;/C&gt;&lt;D xsi:type="xsd:double"&gt;0.152&lt;/D&gt;&lt;/FQL&gt;&lt;FQL&gt;&lt;Q&gt;QLYS-US^FE_ESTIMATE(INC_TAX,MEAN,ANNUAL,+2,NOW,,,'')&lt;/Q&gt;&lt;R&gt;1&lt;/R&gt;&lt;C&gt;1&lt;/C&gt;&lt;D xsi:type="xsd:double"&gt;22.6813&lt;/D&gt;&lt;/FQL&gt;&lt;FQL&gt;&lt;Q&gt;QLYS-US^FE_ESTIMATE(NET_INC_REP,MEAN,ANNUAL,+3,NOW,,,'')&lt;/Q&gt;&lt;R&gt;1&lt;/R&gt;&lt;C&gt;1&lt;/C&gt;&lt;D xsi:type="xsd:double"&gt;58.0329&lt;/D&gt;&lt;/FQL&gt;&lt;FQL&gt;&lt;Q&gt;QLYS-US^FE_ESTIMATE(DEP_AMORT_EXP,MEAN,ANNUAL,+3,NOW,,,'')&lt;/Q&gt;&lt;R&gt;1&lt;/R&gt;&lt;C&gt;1&lt;/C&gt;&lt;D xsi:type="xsd:double"&gt;37&lt;/D&gt;&lt;/FQL&gt;&lt;FQL&gt;&lt;Q&gt;QLYS-US^FE_ESTIMATE(INT_EXP,MEAN,ANNUAL,+3,NOW,,,'')&lt;/Q&gt;&lt;R&gt;0&lt;/R&gt;&lt;C&gt;0&lt;/C&gt;&lt;/FQL&gt;&lt;FQL&gt;&lt;Q&gt;QLYS-US^FE_ESTIMATE(INC_TAX,MEAN,ANNUAL,+3,NOW,,,'')&lt;/Q&gt;&lt;R&gt;1&lt;/R&gt;&lt;C&gt;1&lt;/C&gt;&lt;D xsi:type="xsd:double"&gt;28.3&lt;/D&gt;&lt;/FQL&gt;&lt;FQL&gt;&lt;Q&gt;QLYS-US^FE_ESTIMATE(EBITDA_ADJ,MEAN,QUARTERLY,-2,NOW,,,'')&lt;/Q&gt;&lt;R&gt;1&lt;/R&gt;&lt;C&gt;1&lt;/C&gt;&lt;D xsi:type="xsd:double"&gt;23.825834&lt;/D&gt;&lt;/FQL&gt;&lt;FQL&gt;&lt;Q&gt;QLYS-US^FE_ESTIMATE(EBITDA_ADJ,MEAN,ANNUAL,0,NOW,,,'')&lt;/Q&gt;&lt;R&gt;1&lt;/R&gt;&lt;C&gt;1&lt;/C&gt;&lt;D xsi:type="xsd:double"&gt;84.941&lt;/D&gt;&lt;/FQL&gt;&lt;FQL&gt;&lt;Q&gt;QLYS-US^FE_ESTIMATE(EBITDA_ADJ,MEAN,QUARTERLY,-1,NOW,,,'')&lt;/Q&gt;&lt;R&gt;1&lt;/R&gt;&lt;C&gt;1&lt;/C&gt;&lt;D xsi:type="xsd:double"&gt;24.83743&lt;/D&gt;&lt;/FQL&gt;&lt;FQL&gt;&lt;Q&gt;QLYS-US^FE_ESTIMATE(EBITDA_ADJ,MEAN,QUARTERLY,0,NOW,,,'')&lt;/Q&gt;&lt;R&gt;1&lt;/R&gt;&lt;C&gt;1&lt;/C&gt;&lt;D xsi:type="xsd:double"&gt;26.5185&lt;/D&gt;&lt;/FQL&gt;&lt;FQL&gt;&lt;Q&gt;QLYS-US^FE_ESTIMATE(EBITDA_ADJ,MEAN,QUARTERLY,+1,NOW,,,'')&lt;/Q&gt;&lt;R&gt;1&lt;/R&gt;&lt;C&gt;1&lt;/C&gt;&lt;D xsi:type="xsd:double"&gt;27.062&lt;/D&gt;&lt;/FQL&gt;&lt;FQL&gt;&lt;Q&gt;QLYS-US^FE_ESTIMATE(EBITDA_ADJ,MEAN,QUARTERLY,+2,NOW,,,'')&lt;/Q&gt;&lt;R&gt;1&lt;/R&gt;&lt;C&gt;1&lt;/C&gt;&lt;D xsi:type="xsd:double"&gt;26.727833&lt;/D&gt;&lt;/FQL&gt;&lt;FQL&gt;&lt;Q&gt;QLYS-US^FE_ESTIMATE(EBITDA_ADJ,MEAN,ANNUAL,+1,NOW,,,'')&lt;/Q&gt;&lt;R&gt;1&lt;/R&gt;&lt;C&gt;1&lt;/C&gt;&lt;D xsi:type="xsd:double"&gt;104.93816&lt;/D&gt;&lt;/FQL&gt;&lt;FQL&gt;&lt;Q&gt;QLYS-US^FE_ESTIMATE(EBITDA_ADJ,MEAN,QUARTERLY,+3,NOW,,,'')&lt;/Q&gt;&lt;R&gt;1&lt;/R&gt;&lt;C&gt;1&lt;/C&gt;&lt;D xsi:type="xsd:double"&gt;30.1&lt;/D&gt;&lt;/FQL&gt;&lt;FQL&gt;&lt;Q&gt;QLYS-US^FE_ESTIMATE(EBITDA_ADJ,MEAN,QUARTERLY,+4,NOW,,,'')&lt;/Q&gt;&lt;R&gt;1&lt;/R&gt;&lt;C&gt;1&lt;/C&gt;&lt;D xsi:type="xsd:double"&gt;32.2&lt;/D&gt;&lt;/FQL&gt;&lt;FQL&gt;&lt;Q&gt;QLYS-US^FE_ESTIMATE(EBITDA_ADJ,MEAN,QUARTERLY,+5,NOW,,,'')&lt;/Q&gt;&lt;R&gt;1&lt;/R&gt;&lt;C&gt;1&lt;/C&gt;&lt;D xsi:type="xsd:double"&gt;32.2&lt;/D&gt;&lt;/FQL&gt;&lt;FQL&gt;&lt;Q&gt;QLYS-US^FE_ESTIMATE(EBITDA_ADJ,MEAN,QUARTERLY,+6,NOW,,,'')&lt;/Q&gt;&lt;R&gt;1&lt;/R&gt;&lt;C&gt;1&lt;/C&gt;&lt;D xsi:type="xsd:double"&gt;33.7&lt;/D&gt;&lt;/FQL&gt;&lt;FQL&gt;&lt;Q&gt;QLYS-US^FE_ESTIMATE(EBITDA_ADJ,MEAN,ANNUAL,+2,NOW,,,'')&lt;/Q&gt;&lt;R&gt;1&lt;/R&gt;&lt;C&gt;1&lt;/C&gt;&lt;D xsi:type="xsd:double"&gt;125.66783&lt;/D&gt;&lt;/FQL&gt;&lt;FQL&gt;&lt;Q&gt;QLYS-US^FE_ESTIMATE(EBITDA_ADJ,MEAN,QUARTERLY,+7,NOW,,,'')&lt;/Q&gt;&lt;R&gt;0&lt;/R&gt;&lt;C&gt;0&lt;/C&gt;&lt;/FQL&gt;&lt;FQL&gt;&lt;Q&gt;QLYS-US^FE_ESTIMATE(EBITDA_ADJ,MEAN,QUARTERLY,+8,NOW,,,'')&lt;/Q&gt;&lt;R&gt;0&lt;/R&gt;&lt;C&gt;0&lt;/C&gt;&lt;/FQL&gt;&lt;FQL&gt;&lt;Q&gt;QLYS-US^FE_ESTIMATE(EBITDA_ADJ,MEAN,QUARTERLY,+9,NOW,,,'')&lt;/Q&gt;&lt;R&gt;0&lt;/R&gt;&lt;C&gt;0&lt;/C&gt;&lt;/FQL&gt;&lt;FQL&gt;&lt;Q&gt;QLYS-US^FE_ESTIMATE(EBITDA_ADJ,MEAN,QUARTERLY,+10,NOW,,,'')&lt;/Q&gt;&lt;R&gt;0&lt;/R&gt;&lt;C&gt;0&lt;/C&gt;&lt;/FQL&gt;&lt;FQL&gt;&lt;Q&gt;QLYS-US^FE_ESTIMATE(EBITDA_ADJ,MEAN,ANNUAL,+3,NOW,,,'')&lt;/Q&gt;&lt;R&gt;1&lt;/R&gt;&lt;C&gt;1&lt;/C&gt;&lt;D xsi:type="xsd:double"&gt;161&lt;/D&gt;&lt;/FQL&gt;&lt;FQL&gt;&lt;Q&gt;QLYS-US^FE_ESTIMATE(CF_INV,MEAN,QUARTERLY,-2,NOW,,,'')&lt;/Q&gt;&lt;R&gt;1&lt;/R&gt;&lt;C&gt;1&lt;/C&gt;&lt;D xsi:type="xsd:double"&gt;-34.9956&lt;/D&gt;&lt;/FQL&gt;&lt;FQL&gt;&lt;Q&gt;QLYS-US^FE_ESTIMATE(CF_INV,MEAN,ANNUAL,0,NOW,,,'')&lt;/Q&gt;&lt;R&gt;1&lt;/R&gt;&lt;C&gt;1&lt;/C&gt;&lt;D xsi:type="xsd:double"&gt;-118.165&lt;/D&gt;&lt;/FQL&gt;&lt;FQL&gt;&lt;Q&gt;QLYS-US^FE_ESTIMATE(CF_INV,MEAN,QUARTERLY,-1,NOW,,,'')&lt;/Q&gt;&lt;R&gt;1&lt;/R&gt;&lt;C&gt;1&lt;/C&gt;&lt;D xsi:type="xsd:double"&gt;-38.09525&lt;/D&gt;&lt;/FQL&gt;&lt;FQL&gt;&lt;Q&gt;QLYS-US^FE_ESTIMATE(CF_INV,MEAN,QUARTERLY,0,NOW,,,'')&lt;/Q&gt;&lt;R&gt;1&lt;/R&gt;&lt;C&gt;1&lt;/C&gt;&lt;D xsi:type="xsd:double"&gt;-12.0025&lt;/D&gt;&lt;/FQL&gt;&lt;FQL&gt;&lt;Q&gt;QLYS-US^FE_ESTIMATE(CF_INV,MEAN,QUARTERLY,+1,NOW,,,'')&lt;/Q&gt;&lt;R&gt;1&lt;/R&gt;&lt;C&gt;1&lt;/C&gt;&lt;D xsi:type="xsd:double"&gt;-9.75&lt;/D&gt;&lt;/FQL&gt;&lt;FQL&gt;&lt;Q&gt;QLYS-US^FE_ESTIMATE(CF_INV,MEAN,QUARTERLY,+2,NOW,,,'')&lt;/Q&gt;&lt;R&gt;1&lt;/R&gt;&lt;C&gt;1&lt;/C&gt;&lt;D xsi:type="xsd:double"&gt;-5.03&lt;/D&gt;&lt;/FQL&gt;&lt;FQL&gt;&lt;Q&gt;QLYS-US^FE_ESTIMATE(CF_INV,MEAN,ANNUAL,+1,NOW,,,'')&lt;/Q&gt;&lt;R&gt;1&lt;/R&gt;&lt;C&gt;1&lt;/C&gt;&lt;D xsi:type="xsd:double"&gt;-63.5135&lt;/D&gt;&lt;/FQL&gt;&lt;FQL&gt;&lt;Q&gt;QLYS-US^FE_ESTIMATE(CF_FIN,MEAN,QUARTERLY,-2,NOW,,,'')&lt;/Q&gt;&lt;R&gt;1&lt;/R&gt;&lt;C&gt;1&lt;/C&gt;&lt;D xsi:type="xsd:double"&gt;5.199&lt;/D&gt;&lt;/FQL&gt;&lt;FQL&gt;&lt;Q&gt;QLYS-US^FE_ESTIMATE(CF_FIN,MEAN,ANNUAL,0,NOW,,,'')&lt;/Q&gt;&lt;R&gt;1&lt;/R&gt;&lt;C&gt;1&lt;/C&gt;&lt;D xsi:type="xsd:double"&gt;10.3206&lt;/D&gt;&lt;/FQL&gt;&lt;FQL&gt;&lt;Q&gt;QLYS-US^FE_ESTIMATE(CF_FIN,MEAN,QUARTERLY,-1,NOW,,,'')&lt;/Q&gt;&lt;R&gt;1&lt;/R&gt;&lt;C&gt;1&lt;/C&gt;&lt;D xsi:type="xsd:double"&gt;1.69375&lt;/D&gt;&lt;/FQL&gt;&lt;FQL&gt;&lt;Q&gt;QLYS-US^FE_ESTIMATE(CF_FIN,MEAN,QUARTERLY,0,NOW,,,'')&lt;/Q&gt;&lt;R&gt;1&lt;/R&gt;&lt;C&gt;1&lt;/C&gt;&lt;D xsi:type="xsd:double"&gt;-18.593&lt;/D&gt;&lt;/FQL&gt;&lt;FQL&gt;&lt;Q&gt;QLYS-US^FE_ESTIMATE(CF_FIN,MEAN,QUARTERLY,+1,NOW,,,'')&lt;/Q&gt;&lt;R&gt;1&lt;/R&gt;&lt;C&gt;1&lt;/C&gt;&lt;D xsi:type="xsd:double"&gt;0&lt;/D&gt;&lt;/FQL&gt;&lt;FQL&gt;&lt;Q&gt;QLYS-US^FE_ESTIMATE(CF_FIN,MEAN,QUARTERLY,+2,NOW,,,'')&lt;/Q&gt;&lt;R&gt;1&lt;/R&gt;&lt;C&gt;1&lt;/C&gt;&lt;D xsi:type="xsd:double"&gt;0&lt;/D&gt;&lt;/FQL&gt;&lt;FQL&gt;&lt;Q&gt;QLYS-US^FE_ESTIMATE(CF_FIN,MEAN,ANNUAL,+1,NOW,,,'')&lt;/Q&gt;&lt;R&gt;1&lt;/R&gt;&lt;C&gt;1&lt;/C&gt;&lt;D xsi:type="xsd:double"&gt;-12.284&lt;/D&gt;&lt;/FQL&gt;&lt;FQL&gt;&lt;Q&gt;QLYS-US^FE_ESTIMATE(CF_INV,MEAN,ANNUAL,+2,NOW,,,'')&lt;/Q&gt;&lt;R&gt;1&lt;/R&gt;&lt;C&gt;1&lt;/C&gt;&lt;D xsi:type="xsd:double"&gt;-29.10475&lt;/D&gt;&lt;/FQL&gt;&lt;FQL&gt;&lt;Q&gt;QLYS-US^FE_ESTIMATE(CF_FIN,MEAN,ANNUAL,+2,NOW,,,'')&lt;/Q&gt;&lt;R&gt;1&lt;/R&gt;&lt;C&gt;1&lt;/C&gt;&lt;D xsi:type="xsd:double"&gt;0&lt;/D&gt;&lt;/FQL&gt;&lt;FQL&gt;&lt;Q&gt;QLYS-US^FE_ESTIMATE(CF_OP,MEAN,QUARTERLY,-2,NOW,,,'')&lt;/Q&gt;&lt;R&gt;1&lt;/R&gt;&lt;C&gt;1&lt;/C&gt;&lt;D xsi:type="xsd:double"&gt;25.885334&lt;/D&gt;&lt;/FQL&gt;&lt;FQL&gt;&lt;Q&gt;QLYS-US^FE_ESTIMATE(CF_OP,MEAN,ANNUAL,0,NOW,,,'')&lt;/Q&gt;&lt;R&gt;1&lt;/R&gt;&lt;C&gt;1&lt;/C&gt;&lt;D xsi:type="xsd:double"&gt;107.66489&lt;/D&gt;&lt;/FQL&gt;&lt;FQL&gt;&lt;Q&gt;QLYS-US^FE_ESTIMATE(CF_OP,MEAN,QUARTERLY,-1,NOW,,,'')&lt;/Q&gt;&lt;R&gt;1&lt;/R&gt;&lt;C&gt;1&lt;/C&gt;&lt;D xsi:type="xsd:double"&gt;42.995285&lt;/D&gt;&lt;/FQL&gt;&lt;FQL&gt;&lt;Q&gt;QLYS-US^FE_ESTIMATE(CF_OP,MEAN,QUARTERLY,0,NOW,,,'')&lt;/Q&gt;&lt;R&gt;1&lt;/R&gt;&lt;C&gt;1&lt;/C&gt;&lt;D xsi:type="xsd:double"&gt;24.2228&lt;/D&gt;&lt;/FQL&gt;&lt;FQL&gt;&lt;Q&gt;QLYS-US^FE_ESTIMATE(CF_OP,MEAN,QUARTERLY,+1,NOW,,,'')&lt;/Q&gt;&lt;R&gt;1&lt;/R&gt;&lt;C&gt;1&lt;/C&gt;&lt;D xsi:type="xsd:double"&gt;29.925167&lt;/D&gt;&lt;/FQL&gt;&lt;FQL&gt;&lt;Q&gt;QLYS-US^FE_ESTIMATE(CF_OP,MEAN,QUARTERLY,+2,NOW,,,'')&lt;/Q&gt;&lt;R&gt;1&lt;/R&gt;&lt;C&gt;1&lt;/C&gt;&lt;D xsi:type="xsd:double"&gt;24.621&lt;/D&gt;&lt;/FQL&gt;&lt;FQL&gt;&lt;Q&gt;QLYS-US^FE_ESTIMATE(CF_OP,MEAN,ANNUAL,+1,NOW,,,'')&lt;/Q&gt;&lt;R&gt;1&lt;/R&gt;&lt;C&gt;1&lt;/C&gt;&lt;D xsi:type="xsd:double"&gt;123.09985&lt;/D&gt;&lt;/FQL&gt;&lt;FQL&gt;&lt;Q&gt;QLYS-US^FE_ESTIMATE(CF_OP,MEAN,QUARTERLY,+3,NOW,,,'')&lt;/Q&gt;&lt;R&gt;1&lt;/R&gt;&lt;C&gt;1&lt;/C&gt;&lt;D xsi:type="xsd:double"&gt;42.745335&lt;/D&gt;&lt;/FQL&gt;&lt;FQL&gt;&lt;Q&gt;QLYS-US^FE_ESTIMATE(CF_OP,MEAN,QUARTERLY,+4,NOW,,,'')&lt;/Q&gt;&lt;R&gt;1&lt;/R&gt;&lt;C&gt;1&lt;/C&gt;&lt;D xsi:type="xsd:double"&gt;27.028334&lt;/D&gt;&lt;/FQL&gt;&lt;FQL&gt;&lt;Q&gt;QLYS-US^FE_ESTIMATE(CF_OP,MEAN,QUARTERLY,+5,NOW,,,'')&lt;/Q&gt;&lt;R&gt;1&lt;/R&gt;&lt;C&gt;1&lt;/C&gt;&lt;D xsi:type="xsd:double"&gt;34.528667&lt;/D&gt;&lt;/FQL&gt;&lt;FQL&gt;&lt;Q&gt;QLYS-US^FE_ESTIMATE(CF_OP,MEAN,QUARTERLY,+6,NOW,,,'')&lt;/Q&gt;&lt;R&gt;1&lt;/R&gt;&lt;C&gt;1&lt;/C&gt;&lt;D xsi:type="xsd:double"&gt;31.339666&lt;/D&gt;&lt;/FQL&gt;&lt;FQL&gt;&lt;Q&gt;QLYS-US^FE_ESTIMATE(CF_OP,MEAN,ANNUAL,+2,NOW,,,'')&lt;/Q&gt;&lt;R&gt;1&lt;/R&gt;&lt;C&gt;1&lt;/C&gt;&lt;D xsi:type="xsd:double"&gt;141.00629&lt;/D&gt;&lt;/FQL&gt;&lt;FQL&gt;&lt;Q&gt;QLYS-US^FE_ESTIMATE(CF_OP,MEAN,QUARTERLY,+7,NOW,,,'')&lt;/Q&gt;&lt;R&gt;0&lt;/R&gt;&lt;C&gt;0&lt;/C&gt;&lt;/FQL&gt;&lt;FQL&gt;&lt;Q&gt;QLYS-US^FE_ESTIMATE(CF_OP,MEAN,QUARTERLY,+8,NOW,,,'')&lt;/Q&gt;&lt;R&gt;0&lt;/R&gt;&lt;C&gt;0&lt;/C&gt;&lt;/FQL&gt;&lt;FQL&gt;&lt;Q&gt;QLYS-US^FE_ESTIMATE(CF_OP,MEAN,QUARTERLY,+9,NOW,,,'')&lt;/Q&gt;&lt;R&gt;0&lt;/R&gt;&lt;C&gt;0&lt;/C&gt;&lt;/FQL&gt;&lt;FQL&gt;&lt;Q&gt;QLYS-US^FE_ESTIMATE(CF_OP,MEAN,QUARTERLY,+10,NOW,,,'')&lt;/Q&gt;&lt;R&gt;0&lt;/R&gt;&lt;C&gt;0&lt;/C&gt;&lt;/FQL&gt;&lt;FQL&gt;&lt;Q&gt;QLYS-US^FE_ESTIMATE(CF_OP,MEAN,ANNUAL,+3,NOW,,,'')&lt;/Q&gt;&lt;R&gt;1&lt;/R&gt;&lt;C&gt;1&lt;/C&gt;&lt;D xsi:type="xsd:double"&gt;200&lt;/D&gt;&lt;/FQL&gt;&lt;FQL&gt;&lt;Q&gt;QLYS-US^FE_ESTIMATE(CF_INV,MEAN,ANNUAL,+3,NOW,,,'')&lt;/Q&gt;&lt;R&gt;1&lt;/R&gt;&lt;C&gt;1&lt;/C&gt;&lt;D xsi:type="xsd:double"&gt;-34&lt;/D&gt;&lt;/FQL&gt;&lt;FQL&gt;&lt;Q&gt;QLYS-US^FE_ESTIMATE(CF_FIN,MEAN,ANNUAL,+3,NOW,,,'')&lt;/Q&gt;&lt;R&gt;1&lt;/R&gt;&lt;C&gt;1&lt;/C&gt;&lt;D xsi:type="xsd:double"&gt;0&lt;/D&gt;&lt;/FQL&gt;&lt;FQL&gt;&lt;Q&gt;QLYS-US^FE_ESTIMATE(FCF,MEAN,QUARTERLY,-2,NOW,,,'')&lt;/Q&gt;&lt;R&gt;1&lt;/R&gt;&lt;C&gt;1&lt;/C&gt;&lt;D xsi:type="xsd:double"&gt;14.6536665&lt;/D&gt;&lt;/FQL&gt;&lt;FQL&gt;&lt;Q&gt;QLYS-US^FE_ESTIMATE(FCF,MEAN,ANNUAL,0,NOW,,,'')&lt;/Q&gt;&lt;R&gt;1&lt;/R&gt;&lt;C&gt;1&lt;/C&gt;&lt;D xsi:type="xsd:double"&gt;69.63155&lt;/D&gt;&lt;/FQL&gt;&lt;FQL&gt;&lt;Q&gt;QLYS-US^FE_ESTIMATE(FCF,MEAN,QUARTERLY,-1,NOW,,,'')&lt;/Q&gt;&lt;R&gt;1&lt;/R&gt;&lt;C&gt;1&lt;/C&gt;&lt;D xsi:type="xsd:double"&gt;36.596375&lt;/D&gt;&lt;/FQL&gt;&lt;FQL&gt;&lt;Q&gt;QLYS-US^FE_ESTIMATE(FCF,MEAN,QUARTERLY,0,NOW,,,'')&lt;/Q&gt;&lt;R&gt;1&lt;/R&gt;&lt;C&gt;1&lt;/C&gt;&lt;D xsi:type="xsd:double"&gt;17.196667&lt;/D&gt;&lt;/FQL&gt;&lt;FQL&gt;&lt;Q&gt;QLYS-US^FE_ESTIMATE(FCF,MEAN,QUARTERLY,+1,NOW,,,'')&lt;/Q&gt;&lt;R&gt;1&lt;/R&gt;&lt;C&gt;1&lt;/C&gt;&lt;D xsi:type="xsd:double"&gt;21.553167&lt;/D&gt;&lt;/FQL&gt;&lt;FQL&gt;&lt;Q&gt;QLYS-US^FE_ESTIMATE(FCF,MEAN,QUARTERLY,+2,NOW,,,'')&lt;/Q&gt;&lt;R&gt;1&lt;/R&gt;&lt;C&gt;1&lt;/C&gt;&lt;D xsi:type="xsd:double"&gt;19.716333&lt;/D&gt;&lt;/FQL&gt;&lt;FQL&gt;&lt;Q&gt;QLYS-US^FE_ESTIMATE(FCF,MEAN,ANNUAL,+1,NOW,,,'')&lt;/Q&gt;&lt;R&gt;1&lt;/R&gt;&lt;C&gt;1&lt;/C&gt;&lt;D xsi:type="xsd:double"&gt;94.766&lt;/D&gt;&lt;/FQL&gt;&lt;FQL&gt;&lt;Q&gt;QLYS-US^FE_ESTIMATE(FCF,MEAN,QUARTERLY,+3,NOW,,,'')&lt;/Q&gt;&lt;R&gt;1&lt;/R&gt;&lt;C&gt;1&lt;/C&gt;&lt;D xsi:type="xsd:double"&gt;35.995335&lt;/D&gt;&lt;/FQL&gt;&lt;FQL&gt;&lt;Q&gt;QLYS-US^FE_ESTIMATE(FCF,MEAN,QUARTERLY,+4,NOW,,,'')&lt;/Q&gt;&lt;R&gt;1&lt;/R&gt;&lt;C&gt;1&lt;/C&gt;&lt;D xsi:type="xsd:double"&gt;20.278334&lt;/D&gt;&lt;/FQL&gt;&lt;FQL&gt;&lt;Q&gt;QLYS-US^FE_ESTIMATE(FCF,MEAN,QUARTERLY,+5,NOW,,,'')&lt;/Q&gt;&lt;R&gt;1&lt;/R&gt;&lt;C&gt;1&lt;/C&gt;&lt;D xsi:type="xsd:double"&gt;27.778667&lt;/D&gt;&lt;/FQL&gt;&lt;FQL&gt;&lt;Q&gt;QLYS-US^FE_ESTIMATE(FCF,MEAN,QUARTERLY,+6,NOW,,,'')&lt;/Q&gt;&lt;R&gt;1&lt;/R&gt;&lt;C&gt;1&lt;/C&gt;&lt;D xsi:type="xsd:double"&gt;24.589666&lt;/D&gt;&lt;/FQL&gt;&lt;FQL&gt;&lt;Q&gt;QLYS-US^FE_ESTIMATE(FCF,MEAN,ANNUAL,+2,NOW,,,'')&lt;/Q&gt;&lt;R&gt;1&lt;/R&gt;&lt;C&gt;1&lt;/C&gt;&lt;D xsi:type="xsd:double"&gt;114.87114&lt;/D&gt;&lt;/FQL&gt;&lt;FQL&gt;&lt;Q&gt;QLYS-US^FE_ESTIMATE(FCF,MEAN,QUARTERLY,+7,NOW,,,'')&lt;/Q&gt;&lt;R&gt;0&lt;/R&gt;&lt;C&gt;0&lt;/C&gt;&lt;/FQL&gt;&lt;FQL&gt;&lt;Q&gt;QLYS-US^FE_ESTIMATE(FCF,MEAN,QUARTERLY,+8,NOW,,,'')&lt;/Q&gt;&lt;R&gt;0&lt;/R&gt;&lt;C&gt;0&lt;/C&gt;&lt;/FQL&gt;&lt;FQL&gt;&lt;Q&gt;QLYS-US^FE_ESTIMATE(FCF,MEAN,QUARTERLY,+9,NOW,,,'')&lt;/Q&gt;&lt;R&gt;0&lt;/R&gt;&lt;C&gt;0&lt;/C&gt;&lt;/FQL&gt;&lt;FQL&gt;&lt;Q&gt;QLYS-US^FE_ESTIMATE(FCF,MEAN,QUARTERLY,+10,NOW,,,'')&lt;/Q&gt;&lt;R&gt;0&lt;/R&gt;&lt;C&gt;0&lt;/C&gt;&lt;/FQL&gt;&lt;FQL&gt;&lt;Q&gt;QLYS-US^FE_ESTIMATE(FCF,MEAN,ANNUAL,+3,NOW,,,'')&lt;/Q&gt;&lt;R&gt;1&lt;/R&gt;&lt;C&gt;1&lt;/C&gt;&lt;D xsi:type="xsd:double"&gt;161&lt;/D&gt;&lt;/FQL&gt;&lt;FQL&gt;&lt;Q&gt;QLYS-US^FE_ESTIMATE(GW_TOT,MEAN,QUARTERLY,-2,NOW,,,'')&lt;/Q&gt;&lt;R&gt;1&lt;/R&gt;&lt;C&gt;1&lt;/C&gt;&lt;D xsi:type="xsd:double"&gt;1.549&lt;/D&gt;&lt;/FQL&gt;&lt;FQL&gt;&lt;Q&gt;QLYS-US^FE_ESTIMATE(GW_TOT,MEAN,ANNUAL,0,NOW,,,'')&lt;/Q&gt;&lt;R&gt;1&lt;/R&gt;&lt;C&gt;1&lt;/C&gt;&lt;D xsi:type="xsd:double"&gt;1.549&lt;/D&gt;&lt;/FQL&gt;&lt;FQL&gt;&lt;Q&gt;QLYS-US^FE_ESTIMATE(INTANG,MEAN,QUARTERLY,-2,NOW,,,'')&lt;/Q&gt;&lt;R&gt;1&lt;/R&gt;&lt;C&gt;1&lt;/C&gt;&lt;D xsi:type="xsd:double"&gt;12.4005&lt;/D&gt;&lt;/FQL&gt;&lt;FQL&gt;&lt;Q&gt;QLYS-US^FE_ESTIMATE(INTANG,MEAN,ANNUAL,0,NOW,,,'')&lt;/Q&gt;&lt;R&gt;1&lt;/R&gt;&lt;C&gt;1&lt;/C&gt;&lt;D xsi:type="xsd:double"&gt;12.400666&lt;/D&gt;&lt;/FQL&gt;&lt;FQL&gt;&lt;Q&gt;QLYS-US^FE_ESTIMATE(RECEIV_NET,MEAN,QUARTERLY,-2,NOW,,,'')&lt;/Q&gt;&lt;R&gt;1&lt;/R&gt;&lt;C&gt;1&lt;/C&gt;&lt;D xsi:type="xsd:double"&gt;64.403&lt;/D&gt;&lt;/FQL&gt;&lt;FQL&gt;&lt;Q&gt;QLYS-US^FE_ESTIMATE(RECEIV_NET,MEAN,ANNUAL,0,NOW,,,'')&lt;/Q&gt;&lt;R&gt;1&lt;/R&gt;&lt;C&gt;1&lt;/C&gt;&lt;D xsi:type="xsd:double"&gt;64.33733&lt;/D&gt;&lt;/FQL&gt;&lt;FQL&gt;&lt;Q&gt;QLYS-US^FE_ESTIMATE(RECEIV_NET,MEAN,QUARTERLY,-1,NOW,,,'')&lt;/Q&gt;&lt;R&gt;1&lt;/R&gt;&lt;C&gt;1&lt;/C&gt;&lt;D xsi:type="xsd:double"&gt;49.8896&lt;/D&gt;&lt;/FQL&gt;&lt;FQL&gt;&lt;Q&gt;QLYS-US^FE_ESTIMATE(RECEIV_NET,MEAN,QUARTERLY,0,NOW,,,'')&lt;/Q&gt;&lt;R&gt;1&lt;/R&gt;&lt;C&gt;1&lt;/C&gt;&lt;D xsi:type="xsd:double"&gt;53.073666&lt;/D&gt;&lt;/FQL&gt;&lt;FQL&gt;&lt;Q&gt;QLYS-US^FE_ESTIMATE(RECEIV_NET,MEAN,QUARTERLY,+1,NOW,,,'')&lt;/Q&gt;&lt;R&gt;1&lt;/R&gt;&lt;C&gt;1&lt;/C&gt;&lt;D xsi:type="xsd:double"&gt;55.698666&lt;/D&gt;&lt;/FQL&gt;&lt;FQL&gt;&lt;Q&gt;QLYS-US^FE_ESTIMATE(RECEIV_NET,MEAN,QUARTERLY,+2,NOW,,,'')&lt;/Q&gt;&lt;R&gt;1&lt;/R&gt;&lt;C&gt;1&lt;/C&gt;&lt;D xsi:type="xsd:double"&gt;65.145&lt;/D&gt;&lt;/FQL&gt;&lt;FQL&gt;&lt;Q&gt;QLYS-US^FE_ESTIMATE(RECEIV_NET,MEAN,ANNUAL,+1,NOW,,,'')&lt;/Q&gt;&lt;R&gt;1&lt;/R&gt;&lt;C&gt;1&lt;/C&gt;&lt;D xsi:type="xsd:double"&gt;65.10875&lt;/D&gt;&lt;/FQL&gt;&lt;FQL&gt;&lt;Q&gt;QLYS-US^FE_ESTIMATE(GW_TOT,MEAN,ANNUAL,+1,NOW,,,'')&lt;/Q&gt;&lt;R&gt;1&lt;/R&gt;&lt;C&gt;1&lt;/C&gt;&lt;D xsi:type="xsd:double"&gt;1.699&lt;/D&gt;&lt;/FQL&gt;&lt;FQL&gt;&lt;Q&gt;QLYS-US^FE_ESTIMATE(INTANG,MEAN,ANNUAL,+1,NOW,,,'')&lt;/Q&gt;&lt;R&gt;1&lt;/R&gt;&lt;C&gt;1&lt;/C&gt;&lt;D xsi:type="xsd:double"&gt;11.5925&lt;/D&gt;&lt;/FQL&gt;&lt;FQL&gt;&lt;Q&gt;QLYS-US^FE_ESTIMATE(PAY_ACCT,MEAN,QUARTERLY,-2,NOW,,,'')&lt;/Q&gt;&lt;R&gt;1&lt;/R&gt;&lt;C&gt;1&lt;/C&gt;&lt;D xsi:type="xsd:double"&gt;1.1146667&lt;/D&gt;&lt;/FQL&gt;&lt;FQL&gt;&lt;Q&gt;QLYS-US^FE_ESTIMATE(PAY_ACCT,MEAN,ANNUAL,0,NOW,,,'')&lt;/Q&gt;&lt;R&gt;1&lt;/R&gt;&lt;C&gt;1&lt;/C&gt;&lt;D xsi:type="xsd:double"&gt;1.0976&lt;/D&gt;&lt;/FQL&gt;&lt;FQL&gt;&lt;Q&gt;QLYS-US^FE_ESTIMATE(PAY_ACCT,MEAN,QUARTERLY,-1,NOW,,,'')&lt;/Q&gt;&lt;R&gt;1&lt;/R&gt;&lt;C&gt;1&lt;/C&gt;&lt;D xsi:type="xsd:double"&gt;1.305&lt;/D&gt;&lt;/FQL&gt;&lt;FQL&gt;&lt;Q&gt;QLYS-US^FE_ESTIMATE(PAY_ACCT,MEAN,QUARTERLY,0,NOW,,,'')&lt;/Q&gt;&lt;R&gt;1&lt;/R&gt;&lt;C&gt;1&lt;/C&gt;&lt;D xsi:type="xsd:double"&gt;1.4836667&lt;/D&gt;&lt;/FQL&gt;&lt;FQL&gt;&lt;Q&gt;QLYS-US^FE_ESTIMATE(PAY_ACCT,MEAN,QUARTERLY,+1,NOW,,,'')&lt;/Q&gt;&lt;R&gt;1&lt;/R&gt;&lt;C&gt;1&lt;/C&gt;&lt;D xsi:type="xsd:double"&gt;2.498&lt;/D&gt;&lt;/FQL&gt;&lt;FQL&gt;&lt;Q&gt;QLYS-US^FE_ESTIMATE(PAY_ACCT,MEAN,QUARTERLY,+2,NOW,,,'')&lt;/Q&gt;&lt;R&gt;1&lt;/R&gt;&lt;C&gt;1&lt;/C&gt;&lt;D xsi:type="xsd:double"&gt;2.5973334&lt;/D&gt;&lt;/FQL&gt;&lt;FQL&gt;&lt;Q&gt;QLYS-US^FE_ESTIMATE(PAY_ACCT,MEAN,ANNUAL,+1,NOW,,,'')&lt;/Q&gt;&lt;R&gt;1&lt;/R&gt;&lt;C&gt;1&lt;/C&gt;&lt;D xsi:type="xsd:double"&gt;2.448&lt;/D&gt;&lt;/FQL&gt;&lt;FQL&gt;&lt;Q&gt;QLYS-US^FE_ESTIMATE(DEFREVENUE_ST,MEAN,QUARTERLY,-2,NOW,,,'')&lt;/Q&gt;&lt;R&gt;1&lt;/R&gt;&lt;C&gt;1&lt;/C&gt;&lt;D xsi:type="xsd:double"&gt;143.1965&lt;/D&gt;&lt;/FQL&gt;&lt;FQL&gt;&lt;Q&gt;QLYS-US^FE_ESTIMATE(DEFREVENUE_ST,MEAN,ANNUAL,0,NOW,,,'')&lt;/Q&gt;&lt;R&gt;1&lt;/R&gt;&lt;C&gt;1&lt;/C&gt;&lt;D xsi:type="xsd:double"&gt;143.1944&lt;/D&gt;&lt;/FQL&gt;&lt;FQL&gt;&lt;Q&gt;QLYS-US^FE_ESTIMATE(DEFREVENUE_ST,MEAN,QUARTERLY,-1,NOW,,,'')&lt;/Q&gt;&lt;R&gt;1&lt;/R&gt;&lt;C&gt;1&lt;/C&gt;&lt;D xsi:type="xsd:double"&gt;147.6824&lt;/D&gt;&lt;/FQL&gt;&lt;FQL&gt;&lt;Q&gt;QLYS-US^FE_ESTIMATE(DEFREVENUE_ST,MEAN,QUARTERLY,0,NOW,,,'')&lt;/Q&gt;&lt;R&gt;1&lt;/R&gt;&lt;C&gt;1&lt;/C&gt;&lt;D xsi:type="xsd:double"&gt;151.58333&lt;/D&gt;&lt;/FQL&gt;&lt;FQL&gt;&lt;Q&gt;QLYS-US^FE_ESTIMATE(DEFREVENUE_ST,MEAN,QUARTERLY,+1,NOW,,,'')&lt;/Q&gt;&lt;R&gt;1&lt;/R&gt;&lt;C&gt;1&lt;/C&gt;&lt;D xsi:type="xsd:double"&gt;159.07933&lt;/D&gt;&lt;/FQL&gt;&lt;FQL&gt;&lt;Q&gt;QLYS-US^FE_ESTIMATE(DEFREVENUE_ST,MEAN,QUARTERLY,+2,NOW,,,'')&lt;/Q&gt;&lt;R&gt;1&lt;/R&gt;&lt;C&gt;1&lt;/C&gt;&lt;D xsi:type="xsd:double"&gt;171.777&lt;/D&gt;&lt;/FQL&gt;&lt;FQL&gt;&lt;Q&gt;QLYS-US^FE_ESTIMATE(DEFREVENUE_ST,MEAN,ANNUAL,+1,NOW,,,'')&lt;/Q&gt;&lt;R&gt;1&lt;/R&gt;&lt;C&gt;1&lt;/C&gt;&lt;D xsi:type="xsd:double"&gt;171.777&lt;/D&gt;&lt;/FQL&gt;&lt;FQL&gt;&lt;Q&gt;QLYS-US^FE_ESTIMATE(DEFREVENUE_LT,MEAN,QUARTERLY,-2,NOW,,,'')&lt;/Q&gt;&lt;R&gt;1&lt;/R&gt;&lt;C&gt;1&lt;/C&gt;&lt;D xsi:type="xsd:double"&gt;17.109&lt;/D&gt;&lt;/FQL&gt;&lt;FQL&gt;&lt;Q&gt;QLYS-US^FE_ESTIMATE(DEFREVENUE_LT,MEAN,ANNUAL,0,NOW,,,'')&lt;/Q&gt;&lt;R&gt;1&lt;/R&gt;&lt;C&gt;1&lt;/C&gt;&lt;D xsi:type="xsd:double"&gt;17.1144&lt;/D&gt;&lt;/FQL&gt;&lt;FQL&gt;&lt;Q&gt;QLYS-US^FE_ESTIMATE(DEFREVENUE_LT,MEAN,QUARTERLY,-1,NOW,,,'')&lt;/Q&gt;&lt;R&gt;1&lt;/R&gt;&lt;C&gt;1&lt;/C&gt;&lt;D xsi:type="xsd:double"&gt;14.998&lt;/D&gt;&lt;/FQL&gt;&lt;FQL&gt;&lt;Q&gt;QLYS-US^FE_ESTIMATE(DEFREVENUE_LT,MEAN,QUARTERLY,0,NOW,,,'')&lt;/Q&gt;&lt;R&gt;1&lt;/R&gt;&lt;C&gt;1&lt;/C&gt;&lt;D xsi:type="xsd:double"&gt;13.924&lt;/D&gt;&lt;/FQL&gt;&lt;FQL&gt;&lt;Q&gt;QLYS-US^FE_ESTIMATE(DEFREVENUE_LT,MEAN,QUARTERLY,+1,NOW,,,'')&lt;/Q&gt;&lt;R&gt;1&lt;/R&gt;&lt;C&gt;1&lt;/C&gt;&lt;D xsi:type="xsd:double"&gt;14.012333&lt;/D&gt;&lt;/FQL&gt;&lt;FQL&gt;&lt;Q&gt;QLYS-US^FE_ESTIMATE(DEFREVENUE_LT,MEAN,QUARTERLY,+2,NOW,,,'')&lt;/Q&gt;&lt;R&gt;1&lt;/R&gt;&lt;C&gt;1&lt;/C&gt;&lt;D xsi:type="xsd:double"&gt;14.463333&lt;/D&gt;&lt;/FQL&gt;&lt;FQL&gt;&lt;Q&gt;QLYS-US^FE_ESTIMATE(DEFREVENUE_LT,MEAN,ANNUAL,+1,NOW,,,'')&lt;/Q&gt;&lt;R&gt;1&lt;/R&gt;&lt;C&gt;1&lt;/C&gt;&lt;D xsi:type="xsd:double"&gt;14.463333&lt;/D&gt;&lt;/FQL&gt;&lt;FQL&gt;&lt;Q&gt;QLYS-US^FE_ESTIMATE(RECEIV_NET,MEAN,ANNUAL,+2,NOW,,,'')&lt;/Q&gt;&lt;R&gt;1&lt;/R&gt;&lt;C&gt;1&lt;/C&gt;&lt;D xsi:type="xsd:double"&gt;66.76175&lt;/D&gt;&lt;/FQL&gt;&lt;FQL&gt;&lt;Q&gt;QLYS-US^FE_ESTIMATE(PAY_ACCT,MEAN,ANNUAL,+2,NOW,,,'')&lt;/Q&gt;&lt;R&gt;1&lt;/R&gt;&lt;C&gt;1&lt;/C&gt;&lt;D xsi:type="xsd:double"&gt;3.81025&lt;/D&gt;&lt;/FQL&gt;&lt;FQL&gt;&lt;Q&gt;QLYS-US^FE_ESTIMATE(GW_TOT,MEAN,ANNUAL,+2,NOW,,,'')&lt;/Q&gt;&lt;R&gt;1&lt;/R&gt;&lt;C&gt;1&lt;/C&gt;&lt;D xsi:type="xsd:double"&gt;1.699&lt;/D&gt;&lt;/FQL&gt;&lt;FQL&gt;&lt;Q&gt;QLYS-US^FE_ESTIMATE(CASH_ST,MEAN,QUARTERLY,-2,NOW,,,'')&lt;/Q&gt;&lt;R&gt;1&lt;/R&gt;&lt;C&gt;1&lt;/C&gt;&lt;D xsi:type="xsd:double"&gt;234.7982&lt;/D&gt;&lt;/FQL&gt;&lt;FQL&gt;&lt;Q&gt;QLYS-US^FE_ESTIMATE(CASH_ST,MEAN,ANNUAL,0,NOW,,,'')&lt;/Q&gt;&lt;R&gt;1&lt;/R&gt;&lt;C&gt;1&lt;/C&gt;&lt;D xsi:type="xsd:double"&gt;192.51172&lt;/D&gt;&lt;/FQL&gt;&lt;FQL&gt;&lt;Q&gt;QLYS-US^FE_ESTIMATE(CASH_ST,MEAN,QUARTERLY,-1,NOW,,,'')&lt;/Q&gt;&lt;R&gt;1&lt;/R&gt;&lt;C&gt;1&lt;/C&gt;&lt;D xsi:type="xsd:double"&gt;200.3896&lt;/D&gt;&lt;/FQL&gt;&lt;FQL&gt;&lt;Q&gt;QLYS-US^FE_ESTIMATE(CASH_ST,MEAN,QUARTERLY,0,NOW,,,'')&lt;/Q&gt;&lt;R&gt;1&lt;/R&gt;&lt;C&gt;1&lt;/C&gt;&lt;D xsi:type="xsd:double"&gt;226.86525&lt;/D&gt;&lt;/FQL&gt;&lt;FQL&gt;&lt;Q&gt;QLYS-US^FE_ESTIMATE(CASH_ST,MEAN,QUARTERLY,+1,NOW,,,'')&lt;/Q&gt;&lt;R&gt;1&lt;/R&gt;&lt;C&gt;1&lt;/C&gt;&lt;D xsi:type="xsd:double"&gt;248.14075&lt;/D&gt;&lt;/FQL&gt;&lt;FQL&gt;&lt;Q&gt;QLYS-US^FE_ESTIMATE(CASH_ST,MEAN,QUARTERLY,+2,NOW,,,'')&lt;/Q&gt;&lt;R&gt;1&lt;/R&gt;&lt;C&gt;1&lt;/C&gt;&lt;D xsi:type="xsd:double"&gt;270.33575&lt;/D&gt;&lt;/FQL&gt;&lt;FQL&gt;&lt;Q&gt;QLYS-US^FE_ESTIMATE(CASH_ST,MEAN,ANNUAL,+1,NOW,,,'')&lt;/Q&gt;&lt;R&gt;1&lt;/R&gt;&lt;C&gt;1&lt;/C&gt;&lt;D xsi:type="xsd:double"&gt;241.6686&lt;/D&gt;&lt;/FQL&gt;&lt;FQL&gt;&lt;Q&gt;QLYS-US^FE_ESTIMATE(CASH_ST,MEAN,QUARTERLY,+3,NOW,,,'')&lt;/Q&gt;&lt;R&gt;1&lt;/R&gt;&lt;C&gt;1&lt;/C&gt;&lt;D xsi:type="xsd:double"&gt;434.6&lt;/D&gt;&lt;/FQL&gt;&lt;FQL&gt;&lt;Q&gt;QLYS-US^FE_ESTIMATE(CASH_ST,MEAN,QUARTERLY,+4,NOW,,,'')&lt;/Q&gt;&lt;R&gt;1&lt;/R&gt;&lt;C&gt;1&lt;/C&gt;&lt;D xsi:type="xsd:double"&gt;456.85&lt;/D&gt;&lt;/FQL&gt;&lt;FQL&gt;&lt;Q&gt;QLYS-US^FE_ESTIMATE(CASH_ST,MEAN,QUARTERLY,+5,NOW,,,'')&lt;/Q&gt;&lt;R&gt;1&lt;/R&gt;&lt;C&gt;1&lt;/C&gt;&lt;D xsi:type="xsd:double"&gt;484.1&lt;/D&gt;&lt;/FQL&gt;&lt;FQL&gt;&lt;Q&gt;QLYS-US^FE_ESTIMATE(CASH_ST,MEAN,QUARTERLY,+6,NOW,,,'')&lt;/Q&gt;&lt;R&gt;1&lt;/R&gt;&lt;C&gt;1&lt;/C&gt;&lt;D xsi:type="xsd:double"&gt;512.95&lt;/D&gt;&lt;/FQL&gt;&lt;FQL&gt;&lt;Q&gt;QLYS-US^FE_ESTIMATE(CASH_ST,MEAN,ANNUAL,+2,NOW,,,'')&lt;/Q&gt;&lt;R&gt;1&lt;/R&gt;&lt;C&gt;1&lt;/C&gt;&lt;D xsi:type="xsd:double"&gt;356.4282&lt;/D&gt;&lt;/FQL&gt;&lt;FQL&gt;&lt;Q&gt;QLYS-US^FE_ESTIMATE(CASH_ST,MEAN,QUARTERLY,+7,NOW,,,'')&lt;/Q&gt;&lt;R&gt;0&lt;/R&gt;&lt;C&gt;0&lt;/C&gt;&lt;/FQL&gt;&lt;FQL&gt;&lt;Q&gt;QLYS-US^FE_ESTIMATE(CASH_ST,MEAN,QUARTERLY,+8,NOW,,,'')&lt;/Q&gt;&lt;R&gt;0&lt;/R&gt;&lt;C&gt;0&lt;/C&gt;&lt;/FQL&gt;&lt;FQL&gt;&lt;Q&gt;QLYS-US^FE_ESTIMATE(CASH_ST,MEAN,QUARTERLY,+9,NOW,,,'')&lt;/Q&gt;&lt;R&gt;0&lt;/R&gt;&lt;C&gt;0&lt;/C&gt;&lt;/FQL&gt;&lt;FQL&gt;&lt;Q&gt;QLYS-US^FE_ESTIMATE(CASH_ST,MEAN,QUARTERLY,+10,NOW,,,'')&lt;/Q&gt;&lt;R&gt;0&lt;/R&gt;&lt;C&gt;0&lt;/C&gt;&lt;/FQL&gt;&lt;FQL&gt;&lt;Q&gt;QLYS-US^FE_ESTIMATE(CASH_ST,MEAN,ANNUAL,+3,NOW,,,'')&lt;/Q&gt;&lt;R&gt;1&lt;/R&gt;&lt;C&gt;1&lt;/C&gt;&lt;D xsi:type="xsd:double"&gt;422&lt;/D&gt;&lt;/FQL&gt;&lt;FQL&gt;&lt;Q&gt;QLYS-US^FE_ESTIMATE(RECEIV_NET,MEAN,ANNUAL,+3,NOW,,,'')&lt;/Q&gt;&lt;R&gt;1&lt;/R&gt;&lt;C&gt;1&lt;/C&gt;&lt;D xsi:type="xsd:double"&gt;73&lt;/D&gt;&lt;/FQL&gt;&lt;FQL&gt;&lt;Q&gt;QLYS-US^FE_ESTIMATE(PAY_ACCT,MEAN,ANNUAL,+3,NOW,,,'')&lt;/Q&gt;&lt;R&gt;1&lt;/R&gt;&lt;C&gt;1&lt;/C&gt;&lt;D xsi:type="xsd:double"&gt;4&lt;/D&gt;&lt;/FQL&gt;&lt;FQL&gt;&lt;Q&gt;QLYS-US^FE_ESTIMATE(RECEIV_NET,MEAN,QUARTERLY,+3,NOW,,,'')&lt;/Q&gt;&lt;R&gt;1&lt;/R&gt;&lt;C&gt;1&lt;/C&gt;&lt;D xsi:type="xsd:double"&gt;58.3&lt;/D&gt;&lt;/FQL&gt;&lt;FQL&gt;&lt;Q&gt;QLYS-US^FE_ESTIMATE(RECEIV_NET,MEAN,QUARTERLY,+4,NOW,,,'')&lt;/Q&gt;&lt;R&gt;1&lt;/R&gt;&lt;C&gt;1&lt;/C&gt;&lt;D xsi:type="xsd:double"&gt;61.5&lt;/D&gt;&lt;/FQL&gt;&lt;FQL&gt;&lt;Q&gt;QLYS-US^FE_ESTIMATE(RECEIV_NET,MEAN,QUARTERLY,+5,NOW,,,'')&lt;/Q&gt;&lt;R&gt;1&lt;/R&gt;&lt;C&gt;1&lt;/C&gt;&lt;D xsi:type="xsd:double"&gt;64.2&lt;/D&gt;&lt;/FQL&gt;&lt;FQL&gt;&lt;Q&gt;QLYS-US^FE_ESTIMATE(RECEIV_NET,MEAN,QUARTERLY,+6,NOW,,,'')&lt;/Q&gt;&lt;R&gt;1&lt;/R&gt;&lt;C&gt;1&lt;/C&gt;&lt;D xsi:type="xsd:double"&gt;70.2&lt;/D&gt;&lt;/FQL&gt;&lt;FQL&gt;&lt;Q&gt;QLYS-US^FE_ESTIMATE(RECEIV_NET,MEAN,QUARTERLY,+7,NOW,,,'')&lt;/Q&gt;&lt;R&gt;0&lt;/R&gt;&lt;C&gt;0&lt;/C&gt;&lt;/FQL&gt;&lt;FQL&gt;&lt;Q&gt;QLYS-US^FE_ESTIMATE(RECEIV_NET,MEAN,QUARTERLY,+8,NOW,,,'')&lt;/Q&gt;&lt;R&gt;0&lt;/R&gt;&lt;C&gt;0&lt;/C&gt;&lt;/FQL&gt;&lt;FQL&gt;&lt;Q&gt;QLYS-US^FE_ESTIMATE(RECEIV_NET,MEAN,QUARTERLY,+9,NOW,,,'')&lt;/Q&gt;&lt;R&gt;0&lt;/R&gt;&lt;C&gt;0&lt;/C&gt;&lt;/FQL&gt;&lt;FQL&gt;&lt;Q&gt;QLYS-US^FE_ESTIMATE(RECEIV_NET,MEAN,QUARTERLY,+10,NOW,,,'')&lt;/Q&gt;&lt;R&gt;0&lt;/R&gt;&lt;C&gt;0&lt;/C&gt;&lt;/FQL&gt;&lt;FQL&gt;&lt;Q&gt;QLYS-US^FE_ESTIMATE(CAPEX,MEAN,QUARTERLY,+1,NOW,,,'')&lt;/Q&gt;&lt;R&gt;1&lt;/R&gt;&lt;C&gt;1&lt;/C&gt;&lt;D xsi:type="xsd:double"&gt;9.8&lt;/D&gt;&lt;/FQL&gt;&lt;FQL&gt;&lt;Q&gt;QLYS-US^FE_ESTIMATE(CAPEX,MEAN,QUARTERLY,+2,NOW,,,'')&lt;/Q&gt;&lt;R&gt;1&lt;/R&gt;&lt;C&gt;1&lt;/C&gt;&lt;D xsi:type="xsd:double"&gt;4.862&lt;/D&gt;&lt;/FQL&gt;&lt;FQL&gt;&lt;Q&gt;QLYS-US^FE_ESTIMATE(CAPEX,MEAN,ANNUAL,+1,NOW,,,'')&lt;/Q&gt;&lt;R&gt;1&lt;/R&gt;&lt;C&gt;1&lt;/C&gt;&lt;D xsi:type="xsd:double"&gt;27.919428&lt;/D&gt;&lt;/FQL&gt;&lt;FQL&gt;&lt;Q&gt;QLYS-US^FE_ESTIMATE(CAPEX,MEAN,QUARTERLY,+3,NOW,,,'')&lt;/Q&gt;&lt;R&gt;1&lt;/R&gt;&lt;C&gt;1&lt;/C&gt;&lt;D xsi:type="xsd:double"&gt;6.75&lt;/D&gt;&lt;/FQL&gt;&lt;FQL&gt;&lt;Q&gt;QLYS-US^FE_ESTIMATE(CAPEX,MEAN,QUARTERLY,+4,NOW,,,'')&lt;/Q&gt;&lt;R&gt;1&lt;/R&gt;&lt;C&gt;1&lt;/C&gt;&lt;D xsi:type="xsd:double"&gt;6.75&lt;/D&gt;&lt;/FQL&gt;&lt;FQL&gt;&lt;Q&gt;QLYS-US^FE_ESTIMATE(CAPEX,MEAN,QUARTERLY,+5,NOW,,,'')&lt;/Q&gt;&lt;R&gt;1&lt;/R&gt;&lt;C&gt;1&lt;/C&gt;&lt;D xsi:type="xsd:double"&gt;6.75&lt;/D&gt;&lt;/FQL&gt;&lt;FQL&gt;&lt;Q&gt;QLYS-US^FE_ESTIMATE(CAPEX,MEAN,QUARTERLY,+6,NOW,,,'')&lt;/Q&gt;&lt;R&gt;1&lt;/R&gt;&lt;C&gt;1&lt;/C&gt;&lt;D xsi:type="xsd:double"&gt;6.75&lt;/D&gt;&lt;/FQL&gt;&lt;FQL&gt;&lt;Q&gt;QLYS-US^FE_ESTIMATE(CAPEX,MEAN,ANNUAL,+2,NOW,,,'')&lt;/Q&gt;&lt;R&gt;1&lt;/R&gt;&lt;C&gt;1&lt;/C&gt;&lt;D xsi:type="xsd:double"&gt;28.345572&lt;/D&gt;&lt;/FQL&gt;&lt;FQL&gt;&lt;Q&gt;QLYS-US^FE_ESTIMATE(CAPEX,MEAN,QUARTERLY,+7,NOW,,,'')&lt;/Q&gt;&lt;R&gt;0&lt;/R&gt;&lt;C&gt;0&lt;/C&gt;&lt;/FQL&gt;&lt;FQL&gt;&lt;Q&gt;QLYS-US^FE_ESTIMATE(CAPEX,MEAN,QUARTERLY,+8,NOW,,,'')&lt;/Q&gt;&lt;R&gt;0&lt;/R&gt;&lt;C&gt;0&lt;/C&gt;&lt;/FQL&gt;&lt;FQL&gt;&lt;Q&gt;QLYS-US^FE_ESTIMATE(CAPEX,MEAN,QUARTERLY,+9,NOW,,,'')&lt;/Q&gt;&lt;R&gt;0&lt;/R&gt;&lt;C&gt;0&lt;/C&gt;&lt;/FQL&gt;&lt;FQL&gt;&lt;Q&gt;QLYS-US^FE_ESTIMATE(CAPEX,MEAN,QUARTERLY,+10,NOW,,,'')&lt;/Q&gt;&lt;R&gt;0&lt;/R&gt;&lt;C&gt;0&lt;/C&gt;&lt;/FQL&gt;&lt;FQL&gt;&lt;Q&gt;QLYS-US^FE_ESTIMATE(CAPEX,MEAN,ANNUAL,+3,NOW,,,'')&lt;/Q&gt;&lt;R&gt;1&lt;/R&gt;&lt;C&gt;1&lt;/C&gt;&lt;D xsi:type="xsd:double"&gt;34&lt;/D&gt;&lt;/FQL&gt;&lt;FQL&gt;&lt;Q&gt;QLYS-US^FE_ESTIMATE(GW_TOT,MEAN,ANNUAL,+3,NOW,,,'')&lt;/Q&gt;&lt;R&gt;0&lt;/R&gt;&lt;C&gt;0&lt;/C&gt;&lt;/FQL&gt;&lt;FQL&gt;&lt;Q&gt;QLYS-US^FE_ESTIMATE(PAY_ACCT,MEAN,QUARTERLY,+3,NOW,,,'')&lt;/Q&gt;&lt;R&gt;1&lt;/R&gt;&lt;C&gt;1&lt;/C&gt;&lt;D xsi:type="xsd:double"&gt;1&lt;/D&gt;&lt;/FQL&gt;&lt;FQL&gt;&lt;Q&gt;QLYS-US^FE_ESTIMATE(PAY_ACCT,MEAN,QUARTERLY,+4,NOW,,,'')&lt;/Q&gt;&lt;R&gt;1&lt;/R&gt;&lt;C&gt;1&lt;/C&gt;&lt;D xsi:type="xsd:double"&gt;1&lt;/D&gt;&lt;/FQL&gt;&lt;FQL&gt;&lt;Q&gt;QLYS-US^FE_ESTIMATE(PAY_ACCT,MEAN,QUARTERLY,+5,NOW,,,'')&lt;/Q&gt;&lt;R&gt;1&lt;/R&gt;&lt;C&gt;1&lt;/C&gt;&lt;D xsi:type="xsd:double"&gt;1&lt;/D&gt;&lt;/FQL&gt;&lt;FQL&gt;&lt;Q&gt;QLYS-US^FE_ESTIMATE(PAY_ACCT,MEAN,QUARTERLY,+6,NOW,,,'')&lt;/Q&gt;&lt;R&gt;1&lt;/R&gt;&lt;C&gt;1&lt;/C&gt;&lt;D xsi:type="xsd:double"&gt;1&lt;/D&gt;&lt;/FQL&gt;&lt;FQL&gt;&lt;Q&gt;QLYS-US^FE_ESTIMATE(PAY_ACCT,MEAN,QUARTERLY,+7,NOW,,,'')&lt;/Q&gt;&lt;R&gt;0&lt;/R&gt;&lt;C&gt;0&lt;/C&gt;&lt;/FQL&gt;&lt;FQL&gt;&lt;Q&gt;QLYS-US^FE_ESTIMATE(PAY_ACCT,MEAN,QUARTERLY,+8,NOW,,,'')&lt;/Q&gt;&lt;R&gt;0&lt;/R&gt;&lt;C&gt;0&lt;/C&gt;&lt;/FQL&gt;&lt;FQL&gt;&lt;Q&gt;QLYS-US^FE_ESTIMATE(PAY_ACCT,MEAN,QUARTERLY,+9,NOW,,,'')&lt;/Q&gt;&lt;R&gt;0&lt;/R&gt;&lt;C&gt;0&lt;/C&gt;&lt;/FQL&gt;&lt;FQL&gt;&lt;Q&gt;QLYS-US^FE_ESTIMATE(PAY_ACCT,MEAN,QUARTERLY,+10,NOW,,,'')&lt;/Q&gt;&lt;R&gt;0&lt;/R&gt;&lt;C&gt;0&lt;/C&gt;&lt;/FQL&gt;&lt;FQL&gt;&lt;Q&gt;QLYS-US^FE_ESTIMATE(DEFREVENUE_ST,MEAN,QUARTERLY,+3,NOW,,,'')&lt;/Q&gt;&lt;R&gt;1&lt;/R&gt;&lt;C&gt;1&lt;/C&gt;&lt;D xsi:type="xsd:double"&gt;174.4&lt;/D&gt;&lt;/FQL&gt;&lt;FQL&gt;&lt;Q&gt;QLYS-US^FE_ESTIMATE(DEFREVENUE_ST,MEAN,QUARTERLY,+4,NOW,,,'')&lt;/Q&gt;&lt;R&gt;1&lt;/R&gt;&lt;C&gt;1&lt;/C&gt;&lt;D xsi:type="xsd:double"&gt;180.3&lt;/D&gt;&lt;/FQL&gt;&lt;FQL&gt;&lt;Q&gt;QLYS-US^FE_ESTIMATE(DEFREVENUE_ST,MEAN,QUARTERLY,+5,NOW,,,'')&lt;/Q&gt;&lt;R&gt;1&lt;/R&gt;&lt;C&gt;1&lt;/C&gt;&lt;D xsi:type="xsd:double"&gt;185.3&lt;/D&gt;&lt;/FQL&gt;&lt;FQL&gt;&lt;Q&gt;QLYS-US^FE_ESTIMATE(DEFREVENUE_ST,MEAN,QUARTERLY,+6,NOW,,,'')&lt;/Q&gt;&lt;R&gt;1&lt;/R&gt;&lt;C&gt;1&lt;/C&gt;&lt;D xsi:type="xsd:double"&gt;196.5&lt;/D&gt;&lt;/FQL&gt;&lt;FQL&gt;&lt;Q&gt;QLYS-US^FE_ESTIMATE(DEFREVENUE_ST,MEAN,ANNUAL,+2,NOW,,,'')&lt;/Q&gt;&lt;R&gt;1&lt;/R&gt;&lt;C&gt;1&lt;/C&gt;&lt;D xsi:type="xsd:double"&gt;198.549&lt;/D&gt;&lt;/FQL&gt;&lt;FQL&gt;&lt;Q&gt;QLYS-US^FE_ESTIMATE(DEFREVENUE_ST,MEAN,QUARTERLY,+7,NOW,,,'')&lt;/Q&gt;&lt;R&gt;0&lt;/R&gt;&lt;C&gt;0&lt;/C&gt;&lt;/FQL&gt;&lt;FQL&gt;&lt;Q&gt;QLYS-US^FE_ESTIMATE(DEFREVENUE_ST,MEAN,QUARTERLY,+8,NOW,,,'')&lt;/Q&gt;&lt;R&gt;0&lt;/R&gt;&lt;C&gt;0&lt;/C&gt;&lt;/FQL&gt;&lt;FQL&gt;&lt;Q&gt;QLYS-US^FE_ESTIMATE(DEFREVENUE_ST,MEAN,QUARTERLY,+9,NOW,,,'')&lt;/Q&gt;&lt;R&gt;0&lt;/R&gt;&lt;C&gt;0&lt;/C&gt;&lt;/FQL&gt;&lt;FQL&gt;&lt;Q&gt;QLYS-US^FE_ESTIMATE(DEFREVENUE_ST,MEAN,QUARTERLY,+10,NOW,,,'')&lt;/Q&gt;&lt;R&gt;0&lt;/R&gt;&lt;C&gt;0&lt;/C&gt;&lt;/FQL&gt;&lt;FQL&gt;&lt;Q&gt;QLYS-US^FE_ESTIMATE(DEFREVENUE_ST,MEAN,ANNUAL,+3,NOW,,,'')&lt;/Q&gt;&lt;R&gt;0&lt;/R&gt;&lt;C&gt;0&lt;/C&gt;&lt;/FQL&gt;&lt;FQL&gt;&lt;Q&gt;QLYS-US^FE_ESTIMATE(DEFREVENUE_LT,MEAN,QUARTERLY,+3,NOW,,,'')&lt;/Q&gt;&lt;R&gt;1&lt;/R&gt;&lt;C&gt;1&lt;/C&gt;&lt;D xsi:type="xsd:double"&gt;14.8&lt;/D&gt;&lt;/FQL&gt;&lt;FQL&gt;&lt;Q&gt;QLYS-US^FE_ESTIMATE(DEFREVENUE_LT,MEAN,QUARTERLY,+4,NOW,,,'')&lt;/Q&gt;&lt;R&gt;1&lt;/R&gt;&lt;C&gt;1&lt;/C&gt;&lt;D xsi:type="xsd:double"&gt;15.3&lt;/D&gt;&lt;/FQL&gt;&lt;FQL&gt;&lt;Q&gt;QLYS-US^FE_ESTIMATE(DEFREVENUE_LT,MEAN,QUARTERLY,+5,NOW,,,'')&lt;/Q&gt;&lt;R&gt;1&lt;/R&gt;&lt;C&gt;1&lt;/C&gt;&lt;D xsi:type="xsd:double"&gt;16.1&lt;/D&gt;&lt;/FQL&gt;&lt;FQL&gt;&lt;Q&gt;QLYS-US^FE_ESTIMATE(DEFREVENUE_LT,MEAN,QUARTERLY,+6,NOW,,,'')&lt;/Q&gt;&lt;R&gt;1&lt;/R&gt;&lt;C&gt;1&lt;/C&gt;&lt;D xsi:type="xsd:double"&gt;18.1&lt;/D&gt;&lt;/FQL&gt;&lt;FQL&gt;&lt;Q&gt;QLYS-US^FE_ESTIMATE(DEFREVENUE_LT,MEAN,ANNUAL,+2,NOW,,,'')&lt;/Q&gt;&lt;R&gt;1&lt;/R&gt;&lt;C&gt;1&lt;/C&gt;&lt;D xsi:type="xsd:double"&gt;16.466333&lt;/D&gt;&lt;/FQL&gt;&lt;FQL&gt;&lt;Q&gt;QLYS-US^FE_ESTIMATE(DEFREVENUE_LT,MEAN,QUARTERLY,+7,NOW,,,'')&lt;/Q&gt;&lt;R&gt;0&lt;/R&gt;&lt;C&gt;0&lt;/C&gt;&lt;/FQL&gt;&lt;FQL&gt;&lt;Q&gt;QLYS-US^FE_ESTIMATE(DEFREVENUE_LT,MEAN,QUARTERLY,+8,NOW,,,'')&lt;/Q&gt;&lt;R&gt;0&lt;/R&gt;&lt;C&gt;0&lt;/C&gt;&lt;/FQL&gt;&lt;FQL&gt;&lt;Q&gt;QLYS-US^FE_ESTIMATE(DEFREVENUE_LT,MEAN,QUARTERLY,+9,NOW,,,'')&lt;/Q&gt;&lt;R&gt;0&lt;/R&gt;&lt;C&gt;0&lt;/C&gt;&lt;/FQL&gt;&lt;FQL&gt;&lt;Q&gt;QLYS-US^FE_ESTIMATE(DEFREVENUE_LT,MEAN,QUARTERLY,+10,NOW,,,'')&lt;/Q&gt;&lt;R&gt;0&lt;/R&gt;&lt;C&gt;0&lt;/C&gt;&lt;/FQL&gt;&lt;FQL&gt;&lt;Q&gt;QLYS-US^FE_ESTIMATE(DEFREVENUE_LT,MEAN,ANNUAL,+3,NOW,,,'')&lt;/Q&gt;&lt;R&gt;0&lt;/R&gt;&lt;C&gt;0&lt;/C&gt;&lt;/FQL&gt;&lt;FQL&gt;&lt;Q&gt;QLYS-US^FE_ESTIMATE(NET_INC_ADJ,MEAN,QUARTERLY,+1,NOW,,,'')&lt;/Q&gt;&lt;R&gt;1&lt;/R&gt;&lt;C&gt;1&lt;/C&gt;&lt;D xsi:type="xsd:double"&gt;33.952694&lt;/D&gt;&lt;/FQL&gt;&lt;FQL&gt;&lt;Q&gt;QLYS-US^FE_ESTIMATE(SALES,MEAN,QUARTERLY,+2,NOW,,,'')&lt;/Q&gt;&lt;R&gt;1&lt;/R&gt;&lt;C&gt;1&lt;/C&gt;&lt;D xsi:type="xsd:double"&gt;78.51&lt;/D&gt;&lt;/FQL&gt;&lt;FQL&gt;&lt;Q&gt;QLYS-US^FE_ESTIMATE(EPS_NONGAAP,MEAN,QUARTERLY,+9,NOW,,,'')&lt;/Q&gt;&lt;R&gt;0&lt;/R&gt;&lt;C&gt;0&lt;/C&gt;&lt;/FQL&gt;&lt;FQL&gt;&lt;Q&gt;QLYS-US^FE_ESTIMATE(NET_INC_ADJ,MEAN,QUARTERLY,+6,NOW,,,'')&lt;/Q&gt;&lt;R&gt;1&lt;/R&gt;&lt;C&gt;1&lt;/C&gt;&lt;D xsi:type="xsd:double"&gt;40.106182&lt;/D&gt;&lt;/FQL&gt;&lt;FQL&gt;&lt;Q&gt;QLYS-US^FE_ESTIMATE(NET_INC_ADJ,MEAN,QUARTERLY,+4,NOW,,,'')&lt;/Q&gt;&lt;R&gt;1&lt;/R&gt;&lt;C&gt;1&lt;/C&gt;&lt;D xsi:type="xsd:double"&gt;38.62609&lt;/D&gt;&lt;/FQL&gt;&lt;FQL&gt;&lt;Q&gt;QLYS-US^FE_ESTIMATE(EBIT_ADJ,MEAN,QUARTERLY,+2,NOW,,,'')&lt;/Q&gt;&lt;R&gt;1&lt;/R&gt;&lt;C&gt;1&lt;/C&gt;&lt;D xsi:type="xsd:double"&gt;19.4378&lt;/D&gt;&lt;/FQL&gt;&lt;FQL&gt;&lt;Q&gt;QLYS-US^FE_ESTIMATE(SALES,MEAN,QUARTERLY,0,NOW,,,'')&lt;/Q&gt;&lt;R&gt;1&lt;/R&gt;&lt;C&gt;1&lt;/C&gt;&lt;D xsi:type="xsd:double"&gt;74.2&lt;/D&gt;&lt;/FQL&gt;&lt;FQL&gt;&lt;Q&gt;QLYS-US^FE_ESTIMATE(NET_INC_ADJ,MEAN,ANNUAL,+3,NOW,,,'')&lt;/Q&gt;&lt;R&gt;1&lt;/R&gt;&lt;C&gt;1&lt;/C&gt;&lt;D xsi:type="xsd:double"&gt;168.97943&lt;/D&gt;&lt;/FQL&gt;&lt;FQL&gt;&lt;Q&gt;QLYS-US^FE_ESTIMATE(EBIT_ADJ,MEAN,ANNUAL,+1,NOW,,,'')&lt;/Q&gt;&lt;R&gt;1&lt;/R&gt;&lt;C&gt;1&lt;/C&gt;&lt;D xsi:type="xsd:double"&gt;98.77533&lt;/D&gt;&lt;/FQL&gt;&lt;FQL&gt;&lt;Q&gt;QLYS-US^FE_ESTIMATE(EBIT_ADJ,MEAN,QUARTERLY,-4,NOW,,,'')&lt;/Q&gt;&lt;R&gt;1&lt;/R&gt;&lt;C&gt;1&lt;/C&gt;&lt;D xsi:type="xsd:double"&gt;18.628&lt;/D&gt;&lt;/FQL&gt;&lt;FQL&gt;&lt;Q&gt;QLYS-US^FE_ESTIMATE(EPS_NONGAAP,MEAN,QUARTERLY,0,NOW,,,'')&lt;/Q&gt;&lt;R&gt;1&lt;/R&gt;&lt;C&gt;1&lt;/C&gt;&lt;D xsi:type="xsd:double"&gt;0.51&lt;/D&gt;&lt;/FQL&gt;&lt;FQL&gt;&lt;Q&gt;QLYS-US^FE_ESTIMATE(NET_INC_ADJ,MEAN,QUARTERLY,+2,NOW,,,'')&lt;/Q&gt;&lt;R&gt;1&lt;/R&gt;&lt;C&gt;1&lt;/C&gt;&lt;D xsi:type="xsd:double"&gt;34.651615&lt;/D&gt;&lt;/FQL&gt;&lt;FQL&gt;&lt;Q&gt;QLYS-US^FE_ESTIMATE(PTX_INC_ADJ,MEAN,QUARTERLY,+2,NOW,,,'')&lt;/Q&gt;&lt;R&gt;1&lt;/R&gt;&lt;C&gt;1&lt;/C&gt;&lt;D xsi:type="xsd:double"&gt;20.25&lt;/D&gt;&lt;/FQL&gt;&lt;FQL&gt;&lt;Q&gt;QLYS-US^FE_ESTIMATE(SALES,MEAN,ANNUAL,+3,NOW,,,'')&lt;/Q&gt;&lt;R&gt;1&lt;/R&gt;&lt;C&gt;1&lt;/C&gt;&lt;D xsi:type="xsd:double"&gt;436.22205&lt;/D&gt;&lt;/FQL&gt;&lt;FQL&gt;&lt;Q&gt;QLYS-US^FE_ESTIMATE(EPS_NONGAAP,MEAN,QUARTERLY,+2,NOW,,,'')&lt;/Q&gt;&lt;R&gt;1&lt;/R&gt;&lt;C&gt;1&lt;/C&gt;&lt;D xsi:type="xsd:double"&gt;0.45&lt;/D&gt;&lt;/FQL&gt;&lt;FQL&gt;&lt;Q&gt;QLYS-US^FE_ESTIMATE(NET_INC_ADJ,MEAN,QUARTERLY,+3,NOW,,,'')&lt;/Q&gt;&lt;R&gt;1&lt;/R&gt;&lt;C&gt;1&lt;/C&gt;&lt;D xsi:type="xsd:double"&gt;37.000183&lt;/D&gt;&lt;/FQL&gt;&lt;FQL&gt;&lt;Q&gt;QLYS-US^FE_ESTIMATE(EPS_NONGAAP,MEAN,ANNUAL,+2,NOW,,,'')&lt;/Q&gt;&lt;R&gt;1&lt;/R&gt;&lt;C&gt;1&lt;/C&gt;&lt;D xsi:type="xsd:double"&gt;2.1918025&lt;/D&gt;&lt;/FQL&gt;&lt;FQL&gt;&lt;Q&gt;QLYS-US^FE_ESTIMATE(NET_INC_ADJ,MEAN,ANNUAL,+1,NOW,,,'')&lt;/Q&gt;&lt;R&gt;1&lt;/R&gt;&lt;C&gt;1&lt;/C&gt;&lt;D xsi:type="xsd:double"&gt;139.21301&lt;/D&gt;&lt;/FQL&gt;&lt;FQL&gt;&lt;Q&gt;QLYS-US^FE_ESTIMATE(NET_INC_ADJ,MEAN,QUARTERLY,-1,NOW,,,'')&lt;/Q&gt;&lt;R&gt;1&lt;/R&gt;&lt;C&gt;1&lt;/C&gt;&lt;D xsi:type="xsd:double"&gt;35.564&lt;/D&gt;&lt;/FQL&gt;&lt;FQL&gt;&lt;Q&gt;QLYS-US^FE_ESTIMATE(PTX_INC_ADJ,MEAN,QUARTERLY,-3,NOW,,,'')&lt;/Q&gt;&lt;R&gt;1&lt;/R&gt;&lt;C&gt;1&lt;/C&gt;&lt;D xsi:type="xsd:double"&gt;19.266666&lt;/D&gt;&lt;/FQL&gt;&lt;FQL&gt;&lt;Q&gt;QLYS-US^FE_ESTIMATE(PTX_INC_ADJ,MEAN,QUARTERLY,-2,NOW,,,'')&lt;/Q&gt;&lt;R&gt;1&lt;/R&gt;&lt;C&gt;1&lt;/C&gt;&lt;D xsi:type="xsd:double"&gt;21.15&lt;/D&gt;&lt;/FQL&gt;&lt;FQL&gt;&lt;Q&gt;QLYS-US^FE_ESTIMATE(EBIT_ADJ,MEAN,ANNUAL,+2,NOW,,,'')&lt;/Q&gt;&lt;R&gt;1&lt;/R&gt;&lt;C&gt;1&lt;/C&gt;&lt;D xsi:type="xsd:double"&gt;118.111&lt;/D&gt;&lt;/FQL&gt;&lt;FQL&gt;&lt;Q&gt;QLYS-US^FE_ESTIMATE(SALES,MEAN,QUARTERLY,-3,NOW,,,'')&lt;/Q&gt;&lt;R&gt;1&lt;/R&gt;&lt;C&gt;1&lt;/C&gt;&lt;D xsi:type="xsd:double"&gt;64.878&lt;/D&gt;&lt;/FQL&gt;&lt;FQL&gt;&lt;Q&gt;QLYS-US^FE_ESTIMATE(EPS_NONGAAP,MEAN,QUARTERLY,+5,NOW,,,'')&lt;/Q&gt;&lt;R&gt;1&lt;/R&gt;&lt;C&gt;1&lt;/C&gt;&lt;D xsi:type="xsd:double"&gt;0.49285713&lt;/D&gt;&lt;/FQL&gt;&lt;FQL&gt;&lt;Q&gt;QLYS-US^FE_ESTIMATE(EBIT_ADJ,MEAN,QUARTERLY,0,NOW,,,'')&lt;/Q&gt;&lt;R&gt;1&lt;/R&gt;&lt;C&gt;1&lt;/C&gt;&lt;D xsi:type="xsd:double"&gt;22.818&lt;/D&gt;&lt;/FQL&gt;&lt;FQL&gt;&lt;Q&gt;QLYS-US^FE_ESTIMATE(EBIT_ADJ,MEAN,QUARTERLY,-3,NOW,,,'')&lt;/Q&gt;&lt;R&gt;1&lt;/R&gt;&lt;C&gt;1&lt;/C&gt;&lt;D xsi:type="xsd:double"&gt;18.158167&lt;/D&gt;&lt;/FQL&gt;&lt;FQL&gt;&lt;Q&gt;QLYS-US^FE_ESTIMATE(SALES,MEAN,ANNUAL,0,NOW,,,'')&lt;/Q&gt;&lt;R&gt;1&lt;/R&gt;&lt;C&gt;1&lt;/C&gt;&lt;D xsi:type="xsd:double"&gt;278.889&lt;/D&gt;&lt;/FQL&gt;&lt;FQL&gt;&lt;Q&gt;QLYS-US^FE_ESTIMATE(PTX_INC_ADJ,MEAN,ANNUAL,0,NOW,,,'')&lt;/Q&gt;&lt;R&gt;1&lt;/R&gt;&lt;C&gt;1&lt;/C&gt;&lt;D xsi:type="xsd:double"&gt;92.1&lt;/D&gt;&lt;/FQL&gt;&lt;FQL&gt;&lt;Q&gt;QLYS-US^FE_ESTIMATE(SALES,MEAN,QUARTERLY,+7,NOW,,,'')&lt;/Q&gt;&lt;R&gt;0&lt;/R&gt;&lt;C&gt;0&lt;/C&gt;&lt;/FQL&gt;&lt;FQL&gt;&lt;Q&gt;QLYS-US^FE_ESTIMATE(SALES,MEAN,QUARTERLY,+8,NOW,,,'')&lt;/Q&gt;&lt;R&gt;0&lt;/R&gt;&lt;C&gt;0&lt;/C&gt;&lt;/FQL&gt;&lt;FQL&gt;&lt;Q&gt;QLYS-US^FE_ESTIMATE(SALES,MEAN,QUARTERLY,+9,NOW,,,'')&lt;/Q&gt;&lt;R&gt;0&lt;/R&gt;&lt;C&gt;0&lt;/C&gt;&lt;/FQL&gt;&lt;FQL&gt;&lt;Q&gt;QLYS-US^FE_ESTIMATE(SALES,MEAN,QUARTERLY,+10,NOW,,,'')&lt;/Q&gt;&lt;R&gt;0&lt;/R&gt;&lt;C&gt;0&lt;/C&gt;&lt;/FQL&gt;&lt;FQL&gt;&lt;Q&gt;QLYS-US^FE_ESTIMATE(EBIT_ADJ,MEAN,ANNUAL,0,NOW,,,'')&lt;/Q&gt;&lt;R&gt;1&lt;/R&gt;&lt;C&gt;1&lt;/C&gt;&lt;D xsi:type="xsd:double"&gt;87.0956&lt;/D&gt;&lt;/FQL&gt;&lt;FQL&gt;&lt;Q&gt;QLYS-US^FE_ESTIMATE(EBIT_ADJ,MEAN,ANNUAL,+3,NOW,,,'')&lt;/Q&gt;&lt;R&gt;1&lt;/R&gt;&lt;C&gt;1&lt;/C&gt;&lt;D xsi:type="xsd:double"&gt;145.5&lt;/D&gt;&lt;/FQL&gt;&lt;FQL&gt;&lt;Q&gt;QLYS-US^FE_ESTIMATE(PTX_INC_ADJ,MEAN,QUARTERLY,-1,NOW,,,'')&lt;/Q&gt;&lt;R&gt;1&lt;/R&gt;&lt;C&gt;1&lt;/C&gt;&lt;D xsi:type="xsd:double"&gt;26.95&lt;/D&gt;&lt;/FQL&gt;&lt;FQL&gt;&lt;Q&gt;QLYS-US^FE_ESTIMATE(PTX_INC_ADJ,MEAN,ANNUAL,-1,NOW,,,'')&lt;/Q&gt;&lt;R&gt;1&lt;/R&gt;&lt;C&gt;1&lt;/C&gt;&lt;D xsi:type="xsd:double"&gt;65.507&lt;/D&gt;&lt;/FQL&gt;&lt;FQL&gt;&lt;Q&gt;QLYS-US^FE_ESTIMATE(SALES,MEAN,ANNUAL,+1,NOW,,,'')&lt;/Q&gt;&lt;R&gt;1&lt;/R&gt;&lt;C&gt;1&lt;/C&gt;&lt;D xsi:type="xsd:double"&gt;322.14935&lt;/D&gt;&lt;/FQL&gt;&lt;FQL&gt;&lt;Q&gt;QLYS-US^FE_ESTIMATE(NET_INC_ADJ,MEAN,ANNUAL,0,NOW,,,'')&lt;/Q&gt;&lt;R&gt;1&lt;/R&gt;&lt;C&gt;1&lt;/C&gt;&lt;D xsi:type="xsd:double"&gt;129.273&lt;/D&gt;&lt;/FQL&gt;&lt;FQL&gt;&lt;Q&gt;QLYS-US^FE_ESTIMATE(SALES,MEAN,QUARTERLY,+1,NOW,,,'')&lt;/Q&gt;&lt;R&gt;1&lt;/R&gt;&lt;C&gt;1&lt;/C&gt;&lt;D xsi:type="xsd:double"&gt;74.910164&lt;/D&gt;&lt;/FQL&gt;&lt;FQL&gt;&lt;Q&gt;QLYS-US^FE_ESTIMATE(SALES,MEAN,QUARTERLY,-1,NOW,,,'')&lt;/Q&gt;&lt;R&gt;1&lt;/R&gt;&lt;C&gt;1&lt;/C&gt;&lt;D xsi:type="xsd:double"&gt;71.658&lt;/D&gt;&lt;/FQL&gt;&lt;FQL&gt;&lt;Q&gt;QLYS-US^FE_ESTIMATE(PTX_INC_ADJ,MEAN,QUARTERLY,0,NOW,,,'')&lt;/Q&gt;&lt;R&gt;1&lt;/R&gt;&lt;C&gt;1&lt;/C&gt;&lt;D xsi:type="xsd:double"&gt;24.7&lt;/D&gt;&lt;/FQL&gt;&lt;FQL&gt;&lt;Q&gt;QLYS-US^FE_ESTIMATE(NET_INC_ADJ,MEAN,QUARTERLY,+5,NOW,,,'')&lt;/Q&gt;&lt;R&gt;1&lt;/R&gt;&lt;C&gt;1&lt;/C&gt;&lt;D xsi:type="xsd:double"&gt;39.50109&lt;/D&gt;&lt;/FQL&gt;&lt;FQL&gt;&lt;Q&gt;QLYS-US^FE_ESTIMATE(EBIT_ADJ,MEAN,QUARTERLY,-2,NOW,,,'')&lt;/Q&gt;&lt;R&gt;1&lt;/R&gt;&lt;C&gt;1&lt;/C&gt;&lt;D xsi:type="xsd:double"&gt;20.3002&lt;/D&gt;&lt;/FQL&gt;&lt;FQL&gt;&lt;Q&gt;QLYS-US^FE_ESTIMATE(SALES,MEAN,QUARTERLY,-2,NOW,,,'')&lt;/Q&gt;&lt;R&gt;1&lt;/R&gt;&lt;C&gt;1&lt;/C&gt;&lt;D xsi:type="xsd:double"&gt;68.153&lt;/D&gt;&lt;/FQL&gt;&lt;FQL&gt;&lt;Q&gt;QLYS-US^FE_ESTIMATE(SALES,MEAN,QUARTERLY,+5,NOW,,,'')&lt;/Q&gt;&lt;R&gt;1&lt;/R&gt;&lt;C&gt;1&lt;/C&gt;&lt;D xsi:type="xsd:double"&gt;88.00625&lt;/D&gt;&lt;/FQL&gt;&lt;FQL&gt;&lt;Q&gt;QLYS-US^FE_ESTIMATE(NET_INC_ADJ,MEAN,QUARTERLY,-2,NOW,,,'')&lt;/Q&gt;&lt;R&gt;1&lt;/R&gt;&lt;C&gt;1&lt;/C&gt;&lt;D xsi:type="xsd:double"&gt;33.751&lt;/D&gt;&lt;/FQL&gt;&lt;FQL&gt;&lt;Q&gt;QLYS-US^FE_ESTIMATE(NET_INC_ADJ,MEAN,QUARTERLY,-4,NOW,,,'')&lt;/Q&gt;&lt;R&gt;1&lt;/R&gt;&lt;C&gt;1&lt;/C&gt;&lt;D xsi:type="xsd:double"&gt;31.606&lt;/D&gt;&lt;/FQL&gt;&lt;FQL&gt;&lt;Q&gt;QLYS-US^FE_ESTIMATE(SALES,MEAN,QUARTERLY,+4,NOW,,,'')&lt;/Q&gt;&lt;R&gt;1&lt;/R&gt;&lt;C&gt;1&lt;/C&gt;&lt;D xsi:type="xsd:double"&gt;85.87617&lt;/D&gt;&lt;/FQL&gt;&lt;FQL&gt;&lt;Q&gt;QLYS-US^FE_ESTIMATE(NET_INC_ADJ,MEAN,QUARTERLY,+7,NOW,,,'')&lt;/Q&gt;&lt;R&gt;1&lt;/R&gt;&lt;C&gt;1&lt;/C&gt;&lt;D xsi:type="xsd:double"&gt;42.9735&lt;/D&gt;&lt;/FQL&gt;&lt;FQL&gt;&lt;Q&gt;QLYS-US^FE_ESTIMATE(SALES,MEAN,QUARTERLY,+3,NOW,,,'')&lt;/Q&gt;&lt;R&gt;1&lt;/R&gt;&lt;C&gt;1&lt;/C&gt;&lt;D xsi:type="xsd:double"&gt;82.37016&lt;/D&gt;&lt;/FQL&gt;&lt;FQL&gt;&lt;Q&gt;QLYS-US^FE_ESTIMATE(NET_INC_ADJ,MEAN,QUARTERLY,+10,NOW,,,'')&lt;/Q&gt;&lt;R&gt;1&lt;/R&gt;&lt;C&gt;1&lt;/C&gt;&lt;D xsi:type="xsd:double"&gt;46.3925&lt;/D&gt;&lt;/FQL&gt;&lt;FQL&gt;&lt;Q&gt;QLYS-US^FE_ESTIMATE(EBIT_ADJ,MEAN,QUARTERLY,+1,NOW,,,'')&lt;/Q&gt;&lt;R&gt;1&lt;/R&gt;&lt;C&gt;1&lt;/C&gt;&lt;D xsi:type="xsd:double"&gt;21.5046&lt;/D&gt;&lt;/FQL&gt;&lt;FQL&gt;&lt;Q&gt;QLYS-US^FE_ESTIMATE(EPS_NONGAAP,MEAN,QUARTERLY,-2,NOW,,,'')&lt;/Q&gt;&lt;R&gt;1&lt;/R&gt;&lt;C&gt;1&lt;/C&gt;&lt;D xsi:type="xsd:double"&gt;0.32&lt;/D&gt;&lt;/FQL&gt;&lt;FQL&gt;&lt;Q&gt;QLYS-US^FE_ESTIMATE(NET_INC_ADJ,MEAN,QUARTERLY,-3,NOW,,,'')&lt;/Q&gt;&lt;R&gt;1&lt;/R&gt;&lt;C&gt;1&lt;/C&gt;&lt;D xsi:type="xsd:double"&gt;34.154&lt;/D&gt;&lt;/FQL&gt;&lt;FQL&gt;&lt;Q&gt;QLYS-US^FE_ESTIMATE(PTX_INC_ADJ,MEAN,ANNUAL,+1,NOW,,,'')&lt;/Q&gt;&lt;R&gt;1&lt;/R&gt;&lt;C&gt;1&lt;/C&gt;&lt;D xsi:type="xsd:double"&gt;100.35&lt;/D&gt;&lt;/FQL&gt;&lt;FQL&gt;&lt;Q&gt;QLYS-US^FE_ESTIMATE(SALES,MEAN,ANNUAL,-1,NOW,,,'')&lt;/Q&gt;&lt;R&gt;1&lt;/R&gt;&lt;C&gt;1&lt;/C&gt;&lt;D xsi:type="xsd:double"&gt;230.828&lt;/D&gt;&lt;/FQL&gt;&lt;FQL&gt;&lt;Q&gt;QLYS-US^FE_ESTIMATE(NET_INC_ADJ,MEAN,QUARTERLY,+9,NOW,,,'')&lt;/Q&gt;&lt;R&gt;1&lt;/R&gt;&lt;C&gt;1&lt;/C&gt;&lt;D xsi:type="xsd:double"&gt;45.34&lt;/D&gt;&lt;/FQL&gt;&lt;FQL&gt;&lt;Q&gt;QLYS-US^FE_ESTIMATE(PTX_INC_ADJ,MEAN,ANNUAL,+2,NOW,,,'')&lt;/Q&gt;&lt;R&gt;1&lt;/R&gt;&lt;C&gt;1&lt;/C&gt;&lt;D xsi:type="xsd:double"&gt;120.35&lt;/D&gt;&lt;/FQL&gt;&lt;FQL&gt;&lt;Q&gt;QLYS-US^FE_ESTIMATE(NET_INC_ADJ,MEAN,QUARTERLY,+8,NOW,,,'')&lt;/Q&gt;&lt;R&gt;1&lt;/R&gt;&lt;C&gt;1&lt;/C&gt;&lt;D xsi:type="xsd:double"&gt;44.685&lt;/D&gt;&lt;/FQL&gt;&lt;FQL&gt;&lt;Q&gt;QLYS-US^FE_ESTIMATE(EBIT_ADJ,MEAN,ANNUAL,-1,NOW,,,'')&lt;/Q&gt;&lt;R&gt;1&lt;/R&gt;&lt;C&gt;1&lt;/C&gt;&lt;D xsi:type="xsd:double"&gt;64.804665&lt;/D&gt;&lt;/FQL&gt;&lt;FQL&gt;&lt;Q&gt;QLYS-US^FE_ESTIMATE(EPS_NONGAAP,MEAN,ANNUAL,+3,NOW,,,'')&lt;/Q&gt;&lt;R&gt;1&lt;/R&gt;&lt;C&gt;1&lt;/C&gt;&lt;D xsi:type="xsd:double"&gt;2.5800734&lt;/D&gt;&lt;/FQL&gt;&lt;FQL&gt;&lt;Q&gt;QLYS-US^FE_ESTIMATE(NET_INC_ADJ,MEAN,ANNUAL,+2,NOW,,,'')&lt;/Q&gt;&lt;R&gt;1&lt;/R&gt;&lt;C&gt;1&lt;/C&gt;&lt;D xsi:type="xsd:double"&gt;152.97008&lt;/D&gt;&lt;/FQL&gt;&lt;FQL&gt;&lt;Q&gt;QLYS-US^FE_ESTIMATE(SALES,MEAN,QUARTERLY,+6,NOW,,,'')&lt;/Q&gt;&lt;R&gt;1&lt;/R&gt;&lt;C&gt;1&lt;/C&gt;&lt;D xsi:type="xsd:double"&gt;92.43775&lt;/D&gt;&lt;/FQL&gt;&lt;FQL&gt;&lt;Q&gt;QLYS-US^FE_ESTIMATE(PTX_INC_ADJ,MEAN,ANNUAL,+3,NOW,,,'')&lt;/Q&gt;&lt;R&gt;1&lt;/R&gt;&lt;C&gt;1&lt;/C&gt;&lt;D xsi:type="xsd:double"&gt;145.7&lt;/D&gt;&lt;/FQL&gt;&lt;FQL&gt;&lt;Q&gt;QLYS-US^FE_ESTIMATE(EPS_NONGAAP,MEAN,QUARTERLY,-1,NOW,,,'')&lt;/Q&gt;&lt;R&gt;1&lt;/R&gt;&lt;C&gt;1&lt;/C&gt;&lt;D xsi:type="xsd:double"&gt;0.49&lt;/D&gt;&lt;/FQL&gt;&lt;FQL&gt;&lt;Q&gt;QLYS-US^FE_ESTIMATE(PTX_INC_ADJ,MEAN,QUARTERLY,+1,NOW,,,'')&lt;/Q&gt;&lt;R&gt;1&lt;/R&gt;&lt;C&gt;1&lt;/C&gt;&lt;D xsi:type="xsd:double"&gt;22.15&lt;/D&gt;&lt;/FQL&gt;&lt;FQL&gt;&lt;Q&gt;QLYS-US^FE_ESTIMATE(NET_INC_ADJ,MEAN,QUARTERLY,0,NOW,,,'')&lt;/Q&gt;&lt;R&gt;1&lt;/R&gt;&lt;C&gt;1&lt;/C&gt;&lt;D xsi:type="xsd:double"&gt;35.271&lt;/D&gt;&lt;/FQL&gt;&lt;FQL&gt;&lt;Q&gt;QLYS-US^FE_ESTIMATE(EPS_NONGAAP,MEAN,QUARTERLY,+10,NOW,,,'')&lt;/Q&gt;&lt;R&gt;1&lt;/R&gt;&lt;C&gt;1&lt;/C&gt;&lt;D xsi:type="xsd:double"&gt;0.61&lt;/D&gt;&lt;/FQL&gt;&lt;FQL&gt;&lt;Q&gt;QLYS-US^FE_ESTIMATE(PTX_INC_ADJ,MEAN,QUARTERLY,-4,NOW,,,'')&lt;/Q&gt;&lt;R&gt;1&lt;/R&gt;&lt;C&gt;1&lt;/C&gt;&lt;D xsi:typ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Park, Daniel</author>
    <author>Dezort, Matt</author>
    <author>Calitri, Matthew</author>
    <author>Hopson, Jeffrey</author>
  </authors>
  <commentList>
    <comment ref="AQ6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Guide(CY4Q18): ~109.2+</t>
        </r>
      </text>
    </comment>
    <comment ref="AM8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8.5-9.5</t>
        </r>
      </text>
    </comment>
    <comment ref="AR83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8.5-9.5</t>
        </r>
      </text>
    </comment>
    <comment ref="BK83" authorId="1" shapeId="0" xr:uid="{0E1D0BEC-49A1-4127-B189-D5269FA308CD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3Q: 9-10
Guide: 18-25m</t>
        </r>
      </text>
    </comment>
    <comment ref="BP83" authorId="1" shapeId="0" xr:uid="{1BF2D415-1804-4989-ACA4-99EE15693DD5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2Q: 12-16m
1Q: $13-$18
4Q: $15-$20</t>
        </r>
      </text>
    </comment>
    <comment ref="BR83" authorId="2" shapeId="0" xr:uid="{BF83B7C0-1474-400A-BC4B-050182B1D2C9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$1.5M-$3M</t>
        </r>
      </text>
    </comment>
    <comment ref="BS83" authorId="2" shapeId="0" xr:uid="{E3296570-952A-46FA-8237-F6C03297F680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$1M-$3M</t>
        </r>
      </text>
    </comment>
    <comment ref="BT83" authorId="2" shapeId="0" xr:uid="{747C5919-953E-4ED9-B94A-DDDDAED36E7D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$1.2M-$2.7M</t>
        </r>
      </text>
    </comment>
    <comment ref="BU83" authorId="2" shapeId="0" xr:uid="{AA916E2F-BFA7-48BE-ACF2-C1B1D4B0C3B5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1QCY25: $8.0M-$11.0M
2QCY25: $7.0M-$9.0M
3QCY25: $5.5M-$7.0M</t>
        </r>
      </text>
    </comment>
    <comment ref="BV83" authorId="3" shapeId="0" xr:uid="{FC3AE842-34C7-45C5-9B72-A2CDFC940C8D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$1.2-$2.6M</t>
        </r>
      </text>
    </comment>
    <comment ref="BZ83" authorId="3" shapeId="0" xr:uid="{32C489E2-FED1-4C8F-9396-297ABF86B09E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4QCY25: $8-$12M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Park, Daniel</author>
    <author>Boyd, Roger</author>
    <author>Cikos, Michael</author>
    <author>Hopson, Jeffrey</author>
    <author>Dezort, Matt</author>
    <author>Calitri, Matthew</author>
  </authors>
  <commentList>
    <comment ref="AC3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$9.0-$12.0</t>
        </r>
      </text>
    </comment>
    <comment ref="AE32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13-16</t>
        </r>
      </text>
    </comment>
    <comment ref="AF32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10-12</t>
        </r>
      </text>
    </comment>
    <comment ref="AG32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Guide(Q1): $20.0-$25.0
Guide(Q2): $</t>
        </r>
      </text>
    </comment>
    <comment ref="AH32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6-7 million</t>
        </r>
      </text>
    </comment>
    <comment ref="AI32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6-7</t>
        </r>
      </text>
    </comment>
    <comment ref="AJ32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</t>
        </r>
      </text>
    </comment>
    <comment ref="AK32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</t>
        </r>
      </text>
    </comment>
    <comment ref="AL32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Guide(CY4Q17): 23-28
Guide(CY1Q18):
Guide(CY2Q18):
Guide(CY3Q18):</t>
        </r>
      </text>
    </comment>
    <comment ref="AP32" authorId="1" shapeId="0" xr:uid="{00000000-0006-0000-0400-00000A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9-10
(3.5m from Pune Office buildout)
3.2 was actual</t>
        </r>
      </text>
    </comment>
    <comment ref="AR32" authorId="1" shapeId="0" xr:uid="{00000000-0006-0000-0400-00000B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~$5m spent on Pune in CY1H</t>
        </r>
      </text>
    </comment>
    <comment ref="AS32" authorId="1" shapeId="0" xr:uid="{00000000-0006-0000-0400-00000C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~$5m spent on Pune in CY1H
1Q20: 5-6 w/ $1.5m from Pune</t>
        </r>
      </text>
    </comment>
    <comment ref="AT32" authorId="1" shapeId="0" xr:uid="{00000000-0006-0000-0400-00000D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8-9
Pune HQ expansion shifted to 2H b/c of C-19</t>
        </r>
      </text>
    </comment>
    <comment ref="AU32" authorId="1" shapeId="0" xr:uid="{00000000-0006-0000-0400-00000E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7-8 w/ 1m to Pune HQ</t>
        </r>
      </text>
    </comment>
    <comment ref="AV32" authorId="1" shapeId="0" xr:uid="{00000000-0006-0000-0400-00000F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4Q19: 25-30</t>
        </r>
      </text>
    </comment>
    <comment ref="AW32" authorId="2" shapeId="0" xr:uid="{4272EC66-7705-41D4-8B54-E6671C2736F9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$6M-$7M</t>
        </r>
      </text>
    </comment>
    <comment ref="BA32" authorId="2" shapeId="0" xr:uid="{EAEA8213-0C9E-40A7-92EF-836D76EEAE94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$30M-$35M</t>
        </r>
      </text>
    </comment>
    <comment ref="AC60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1Q18 release: 87937</t>
        </r>
      </text>
    </comment>
    <comment ref="AH60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1Q18 release: 87791</t>
        </r>
      </text>
    </comment>
    <comment ref="BM65" authorId="3" shapeId="0" xr:uid="{8D5FE80C-E8A5-4F40-A5AC-883DA722D681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$4-$6m</t>
        </r>
      </text>
    </comment>
    <comment ref="BN65" authorId="3" shapeId="0" xr:uid="{48D48E5F-5A6D-4DF5-95B1-61B8D44C947D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$4-$7m</t>
        </r>
      </text>
    </comment>
    <comment ref="BO65" authorId="4" shapeId="0" xr:uid="{2387CD93-95B3-43C1-AD6A-CEBF0C754774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5.5-9.5m</t>
        </r>
      </text>
    </comment>
    <comment ref="BP65" authorId="3" shapeId="0" xr:uid="{CF515E7F-67C6-4B10-9381-A06AE0488A3F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Q3: $12-16
Q2: $12-$16m
$13-$18m</t>
        </r>
      </text>
    </comment>
    <comment ref="BR65" authorId="5" shapeId="0" xr:uid="{A7F93700-EBCF-4903-8362-D3FCC7241790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$1.5M-$3M</t>
        </r>
      </text>
    </comment>
    <comment ref="BS65" authorId="5" shapeId="0" xr:uid="{AB5DAFFA-F9E8-4556-B3AD-79F5B91E696E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$1M-$3M</t>
        </r>
      </text>
    </comment>
    <comment ref="BT65" authorId="5" shapeId="0" xr:uid="{546C5DF0-CC36-4259-B25F-7DEF8F857B1E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$1.2M-$2.7M</t>
        </r>
      </text>
    </comment>
    <comment ref="BU65" authorId="5" shapeId="0" xr:uid="{C9B90DF2-A954-403C-B386-4CE9C42CA24D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1QCY25: $8.0M-$11.0M
2QCY25: $7.0M-$9.0M
3QCY25: $5.5M-$7.0M</t>
        </r>
      </text>
    </comment>
    <comment ref="BZ65" authorId="3" shapeId="0" xr:uid="{30DBAF52-4E38-4402-911D-55A15EB39593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4QCY25: $8-$12M</t>
        </r>
      </text>
    </comment>
    <comment ref="AQ68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Guide(CY4Q18): FCF growth to exceed Earnings Growth implied by guidance of 5%-8% suggesting ~$109.2+ million </t>
        </r>
      </text>
    </comment>
    <comment ref="BP71" authorId="4" shapeId="0" xr:uid="{BD4ABC50-A759-4A6F-B766-6410BED6FCD3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Q2: Mid to high 30%
Q1: mid 30%
CY4Q: Mid 30% range
</t>
        </r>
      </text>
    </comment>
    <comment ref="BU71" authorId="4" shapeId="0" xr:uid="{356BEFD8-7E1F-45E4-9B5A-B1581D482D80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4QCY24: low to mid 30%
1QCY25: Mid-30%
2QCY25: Mid-30%
3QCY25: Low-40%</t>
        </r>
      </text>
    </comment>
    <comment ref="BZ71" authorId="3" shapeId="0" xr:uid="{66B295CB-6AC7-4564-A5E5-A574A5078F01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4QCY25: low 40s%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Park, Daniel</author>
    <author>Boyd, Roger</author>
    <author>Cikos, Michael</author>
    <author>Dezort, Matt</author>
    <author>Black, Ian</author>
    <author>Hopson, Jeffrey</author>
    <author>Calitri, Matthew</author>
  </authors>
  <commentList>
    <comment ref="AD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$54.3-$55.1</t>
        </r>
      </text>
    </comment>
    <comment ref="AE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$58.2-$58.9 million
</t>
        </r>
      </text>
    </comment>
    <comment ref="AF9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61.7-62.2</t>
        </r>
      </text>
    </comment>
    <comment ref="AG9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(Q1)$225-$228
Guide (Q2)$225-$228
Guide (Q3)$229.6-$230.1</t>
        </r>
      </text>
    </comment>
    <comment ref="AH9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63.4-64.1</t>
        </r>
      </text>
    </comment>
    <comment ref="AI9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66.8-67.3</t>
        </r>
      </text>
    </comment>
    <comment ref="AJ9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70.9-71.5, 19-20% year-year</t>
        </r>
      </text>
    </comment>
    <comment ref="AK9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73.7-74.5, 17%-18% growth</t>
        </r>
      </text>
    </comment>
    <comment ref="AL9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Guide(CY4Q17): 275.5-278.5
Guide(CY1Q18): 276.8-278.5
Guide(CY2Q18): 278.0-279.2, 20-21% year-year
Guide(CY3Q18): 278-279.2, 21%</t>
        </r>
      </text>
    </comment>
    <comment ref="AM9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74.5-75.2, 15%-16% growth</t>
        </r>
      </text>
    </comment>
    <comment ref="AN9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78.2-78.7, up 15% yr-yr</t>
        </r>
      </text>
    </comment>
    <comment ref="AO9" authorId="1" shapeId="0" xr:uid="{00000000-0006-0000-0500-00000C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82.2-82.7</t>
        </r>
      </text>
    </comment>
    <comment ref="AP9" authorId="1" shapeId="0" xr:uid="{00000000-0006-0000-0500-00000D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84.3-84.9</t>
        </r>
      </text>
    </comment>
    <comment ref="AQ9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Guide(CY4Q18): 320-323, 15%-16% growth
1Q19: 320.5-323.0, 15-16% growth
2Q19: 321-322.5</t>
        </r>
      </text>
    </comment>
    <comment ref="AR9" authorId="1" shapeId="0" xr:uid="{00000000-0006-0000-0500-00000F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85.7-86.4</t>
        </r>
      </text>
    </comment>
    <comment ref="AS9" authorId="1" shapeId="0" xr:uid="{00000000-0006-0000-0500-000010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88-88.6</t>
        </r>
      </text>
    </comment>
    <comment ref="AT9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91.6-92.2
</t>
        </r>
      </text>
    </comment>
    <comment ref="AU9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94.2-94.8</t>
        </r>
      </text>
    </comment>
    <comment ref="AV9" authorId="1" shapeId="0" xr:uid="{00000000-0006-0000-0500-000013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4Q19: 364-369
1Q20: 354-359
2Q20: 359-360.5</t>
        </r>
      </text>
    </comment>
    <comment ref="AW9" authorId="2" shapeId="0" xr:uid="{B023EC1C-4719-4EB7-BEE7-6930FA47C250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$94.8M-$95.4M</t>
        </r>
      </text>
    </comment>
    <comment ref="AX9" authorId="2" shapeId="0" xr:uid="{C15CFACA-069F-4DFD-9F2C-0E2CBC31E84C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$98.6M-$99.2M</t>
        </r>
      </text>
    </comment>
    <comment ref="AY9" authorId="2" shapeId="0" xr:uid="{C2807841-E99D-48CC-91B8-61FBA2A93664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$103.8M-$104.4M</t>
        </r>
      </text>
    </comment>
    <comment ref="AZ9" authorId="2" shapeId="0" xr:uid="{EE5B18B6-A36A-4897-8038-C6F4C977629A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$108.1M-$108.7M (+14%-15% YoY)</t>
        </r>
      </text>
    </comment>
    <comment ref="BA9" authorId="2" shapeId="0" xr:uid="{2074ACD6-9786-4092-B66F-18309A038F1F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4QCY20 Guide $399.0M-$402.0M
1QCY21 Guide: $402.5M-$404.5M
2QCY21 Guide: $406.0M-$407.5M
3QCY21 Guide: $409.5M-$410.1M</t>
        </r>
      </text>
    </comment>
    <comment ref="BB9" authorId="3" shapeId="0" xr:uid="{3A4B97D8-722A-44C9-87E3-7BA22BB2C282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Guide $112.5-$113.1M, 16-17% yoy growth</t>
        </r>
      </text>
    </comment>
    <comment ref="BC9" authorId="3" shapeId="0" xr:uid="{AFEB6B91-8F99-4575-B98B-34F64B6E125C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Guide: $117.0-$117.8mm, 17-18% yoy</t>
        </r>
      </text>
    </comment>
    <comment ref="BD9" authorId="3" shapeId="0" xr:uid="{1084DC81-62C5-4A5F-BE0D-C53003EC22A1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Guide: $124.5-$125.1MM - 19% yoy growth</t>
        </r>
      </text>
    </comment>
    <comment ref="BE9" authorId="3" shapeId="0" xr:uid="{11857901-3E52-4805-92BA-321D2299CD7F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Guide: $129.7-130.7, 18-19% yoy</t>
        </r>
      </text>
    </comment>
    <comment ref="BF9" authorId="3" shapeId="0" xr:uid="{EA07C62F-B378-4464-B959-A0A04D4DC4A6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Guide $482-$485M
1QCY22 Guide: $484-486.5mm, 18% yoy
2QCY22 Guide: $488-$489.5mm 19% growth yoy
3QCY22 Guide: $488.6-$489.6MM, 19% yoy</t>
        </r>
      </text>
    </comment>
    <comment ref="BG9" authorId="4" shapeId="0" xr:uid="{633776A1-AA87-428E-9A80-CB385398B4D5}">
      <text>
        <r>
          <rPr>
            <b/>
            <sz val="9"/>
            <color indexed="81"/>
            <rFont val="Tahoma"/>
            <family val="2"/>
          </rPr>
          <t>Black, Ian:</t>
        </r>
        <r>
          <rPr>
            <sz val="9"/>
            <color indexed="81"/>
            <rFont val="Tahoma"/>
            <family val="2"/>
          </rPr>
          <t xml:space="preserve">
Guide: $130.2-$131.0
(15%-16% growth)</t>
        </r>
      </text>
    </comment>
    <comment ref="BH9" authorId="3" shapeId="0" xr:uid="{D0F726C0-3E3B-4259-93C0-A8ADB31EE6AD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$135.2-$136.2MM, 13-14% yoy</t>
        </r>
      </text>
    </comment>
    <comment ref="BI9" authorId="3" shapeId="0" xr:uid="{39F1F577-791D-4B69-8B7E-1C011F600018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$140-$141.5, 12-13% yoy</t>
        </r>
      </text>
    </comment>
    <comment ref="BK9" authorId="4" shapeId="0" xr:uid="{AEE5377B-A53B-4932-9DD9-BAD9E6C74DB1}">
      <text>
        <r>
          <rPr>
            <sz val="9"/>
            <color indexed="81"/>
            <rFont val="Tahoma"/>
            <family val="2"/>
          </rPr>
          <t xml:space="preserve">
20% of Revenue added in CY23 came from new customers per 10K
CY2Q Guide: $553-$555, 13% yoy
CY1Q23 Guide: $553-$557mm, 13-14% yoy
CY4Q22 Guide: $553-557
(13%-14% growth)
</t>
        </r>
      </text>
    </comment>
    <comment ref="BL9" authorId="5" shapeId="0" xr:uid="{749B3152-EDD0-4BE4-851A-4372D1247899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$144.5-$146.5m</t>
        </r>
      </text>
    </comment>
    <comment ref="BM9" authorId="5" shapeId="0" xr:uid="{BB85928F-7A08-44F4-B78D-CD85A7190F5D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$147.5-$149.5m</t>
        </r>
      </text>
    </comment>
    <comment ref="BN9" authorId="5" shapeId="0" xr:uid="{3226C568-6BD4-403F-9CF9-C1CC1408DEBE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$149.8-$151.8m, 5-7% yoy</t>
        </r>
      </text>
    </comment>
    <comment ref="BO9" authorId="3" shapeId="0" xr:uid="{5BC47555-506E-434B-A6EA-10E5132CC2C2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$154.5-157.5m, 7-9% yoy</t>
        </r>
      </text>
    </comment>
    <comment ref="BP9" authorId="5" shapeId="0" xr:uid="{247B37FF-A393-4B9C-BD83-43996E01F820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Q3: 602.9-605.9m, 9% yoy
Q2: $597.5-$601.5m
Q1: $601.5-$628.5m
4Q23: $600-$610m
</t>
        </r>
      </text>
    </comment>
    <comment ref="BQ9" authorId="3" shapeId="0" xr:uid="{32FB1023-CFA2-47CB-BFDA-917D173AC006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$155.5-$158.5 / 7-9%</t>
        </r>
      </text>
    </comment>
    <comment ref="BR9" authorId="6" shapeId="0" xr:uid="{73AEAF0D-6194-4CAE-BD37-EBD14499A6DC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$159.7M-$162.7M (+7%-9% Yr-Yr)</t>
        </r>
      </text>
    </comment>
    <comment ref="BS9" authorId="6" shapeId="0" xr:uid="{BB7C336C-EA6A-4A09-B564-018EF322ADE3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$164.5M-$167.5M (+7%-9% Yr-Yr)</t>
        </r>
      </text>
    </comment>
    <comment ref="BT9" authorId="6" shapeId="0" xr:uid="{2DBF137B-236B-4677-8C62-127916B70E24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$172.0M-$174.0M</t>
        </r>
      </text>
    </comment>
    <comment ref="BU9" authorId="3" shapeId="0" xr:uid="{5B371FD1-38E4-4FD7-BC18-06952776AA09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4QCY24: $645-657 / 6-8% yoy
1QCY25: $648.0M-$657.0M (+7%-8% Yr-Yr)
2QCY25: $656.0M-$662.0M (+8%-9% Yr-Yr)
3QCY25: $665.8M-$667.8M (+10% Yr-Yr)</t>
        </r>
      </text>
    </comment>
    <comment ref="BV9" authorId="5" shapeId="0" xr:uid="{9D67EB2D-AA20-4143-8F14-24BD1100F7F5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$172.5-$174.5M</t>
        </r>
      </text>
    </comment>
    <comment ref="BZ9" authorId="5" shapeId="0" xr:uid="{EFC2DC3C-7E7B-4AFF-87E8-7A515EE777DB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4QCY25: $717-$725M</t>
        </r>
      </text>
    </comment>
    <comment ref="BR10" authorId="6" shapeId="0" xr:uid="{3824BE1F-CC94-4067-9196-C93B1403025A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+7%-9% Yr-Yr</t>
        </r>
      </text>
    </comment>
    <comment ref="BS10" authorId="6" shapeId="0" xr:uid="{F22A1DF5-71D7-46B7-B222-0316C0BE2106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+7%-9% Yr-Yr</t>
        </r>
      </text>
    </comment>
    <comment ref="BT10" authorId="6" shapeId="0" xr:uid="{610E0FE7-B6A4-4D00-BEBF-FDBF1AB4F6A5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+8%-9% Yr-Yr</t>
        </r>
      </text>
    </comment>
    <comment ref="BU10" authorId="6" shapeId="0" xr:uid="{A72E26CA-EE04-47AF-8D50-62F2F0664F53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1QCY25: +7%-8% Yr-Yr
2QCY25: +8%-9% Yr-Yr
3QCY25: +10% Yr-Yr</t>
        </r>
      </text>
    </comment>
    <comment ref="BU18" authorId="3" shapeId="0" xr:uid="{8CCF6D5B-AED6-4C76-B2E3-687FE1CF87E6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4Q: Down 100 BPs yoy from investments in in data centers for better cost efficiency</t>
        </r>
      </text>
    </comment>
    <comment ref="BZ18" authorId="5" shapeId="0" xr:uid="{A2286776-B845-4921-A0AE-FDA9E53A4DFA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4QCY25 Blair: 84.0%-84.5%</t>
        </r>
      </text>
    </comment>
    <comment ref="BZ22" authorId="5" shapeId="0" xr:uid="{0329963E-F2F7-49A3-B56A-423B4B9F2D94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4QCY25 Blair: 15% of revs</t>
        </r>
      </text>
    </comment>
    <comment ref="AX26" authorId="3" shapeId="0" xr:uid="{9B174754-6E7A-4A98-A406-14F833036ED0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1HCY21 sales reps increased net 10</t>
        </r>
      </text>
    </comment>
    <comment ref="BO26" authorId="3" shapeId="0" xr:uid="{E6011F6B-3CA7-41FC-B9C6-B7450E52B893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QSC event in Q4</t>
        </r>
      </text>
    </comment>
    <comment ref="BZ27" authorId="5" shapeId="0" xr:uid="{C6410263-9B51-40A8-809B-E93FAD4147E2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4QCY25 Blair: 20-21.5% of revs</t>
        </r>
      </text>
    </comment>
    <comment ref="BZ32" authorId="5" shapeId="0" xr:uid="{FF5660C0-5AA9-42A7-88FE-832E31FCA428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4QCY25 Blair: 5.5% of revs</t>
        </r>
      </text>
    </comment>
    <comment ref="BK37" authorId="3" shapeId="0" xr:uid="{7AF8B04F-CDF3-489D-9DAB-340FCE768DC6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~29% of expenses were Foreign in CY23 0 mostly Euro, Pound, Rupee -- ~66% of FTEs in India and 75% ex-US</t>
        </r>
      </text>
    </comment>
    <comment ref="BU39" authorId="3" shapeId="0" xr:uid="{ACAA90AE-9FFF-49F4-997A-0498590B1017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4QCY24: +18%-20% Yr-Yr
1QCY25: +15%-17% Yr-Yr
2QCY25: +15%-17% Yr-Yr</t>
        </r>
      </text>
    </comment>
    <comment ref="AJ42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2H Op Mgns down from 1H, resulting in flat mgns for the yr</t>
        </r>
      </text>
    </comment>
    <comment ref="AK42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2H Op Mgns down from 1H, resulting in flat mgns for the yr</t>
        </r>
      </text>
    </comment>
    <comment ref="AL42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2H Op Mgns down from 1H, resulting in flat mgns for the yr
Guide(3Q): Up ~250 BP's yr-yr</t>
        </r>
      </text>
    </comment>
    <comment ref="AS46" authorId="1" shapeId="0" xr:uid="{00000000-0006-0000-0500-000017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$1m lower on interest rate declines</t>
        </r>
      </text>
    </comment>
    <comment ref="AF54" authorId="0" shapeId="0" xr:uid="{00000000-0006-0000-0500-000018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36%</t>
        </r>
      </text>
    </comment>
    <comment ref="AG54" authorId="0" shapeId="0" xr:uid="{00000000-0006-0000-0500-000019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(Q2): 36%
Guide (Q3): 36%</t>
        </r>
      </text>
    </comment>
    <comment ref="AI54" authorId="0" shapeId="0" xr:uid="{00000000-0006-0000-0500-00001A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23%</t>
        </r>
      </text>
    </comment>
    <comment ref="AJ54" authorId="0" shapeId="0" xr:uid="{00000000-0006-0000-0500-00001B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23%</t>
        </r>
      </text>
    </comment>
    <comment ref="AK54" authorId="0" shapeId="0" xr:uid="{00000000-0006-0000-0500-00001C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23%</t>
        </r>
      </text>
    </comment>
    <comment ref="AL54" authorId="0" shapeId="0" xr:uid="{00000000-0006-0000-0500-00001D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Guide(CY1Q18): 23%
Guide(CY2Q18): 23%
Guide(CY3Q18): 23%</t>
        </r>
      </text>
    </comment>
    <comment ref="AM54" authorId="0" shapeId="0" xr:uid="{00000000-0006-0000-0500-00001E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22%</t>
        </r>
      </text>
    </comment>
    <comment ref="AN54" authorId="0" shapeId="0" xr:uid="{00000000-0006-0000-0500-00001F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22%</t>
        </r>
      </text>
    </comment>
    <comment ref="AO54" authorId="1" shapeId="0" xr:uid="{00000000-0006-0000-0500-000020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22%</t>
        </r>
      </text>
    </comment>
    <comment ref="AQ54" authorId="0" shapeId="0" xr:uid="{00000000-0006-0000-0500-000021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Guide(CY4Q18): 22%
1Q19: 22%
2Q19: 22%</t>
        </r>
      </text>
    </comment>
    <comment ref="AR54" authorId="1" shapeId="0" xr:uid="{00000000-0006-0000-0500-000022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21%</t>
        </r>
      </text>
    </comment>
    <comment ref="AS54" authorId="1" shapeId="0" xr:uid="{00000000-0006-0000-0500-000023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21%</t>
        </r>
      </text>
    </comment>
    <comment ref="AT54" authorId="1" shapeId="0" xr:uid="{00000000-0006-0000-0500-000024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21%</t>
        </r>
      </text>
    </comment>
    <comment ref="AU54" authorId="1" shapeId="0" xr:uid="{00000000-0006-0000-0500-000025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21%</t>
        </r>
      </text>
    </comment>
    <comment ref="AV54" authorId="1" shapeId="0" xr:uid="{00000000-0006-0000-0500-000026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4Q19: 21%
1QA20: 21%
2Q20: 21%</t>
        </r>
      </text>
    </comment>
    <comment ref="AW54" authorId="2" shapeId="0" xr:uid="{41FE7BB3-C137-4248-8051-1D72DA255894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21%</t>
        </r>
      </text>
    </comment>
    <comment ref="AX54" authorId="2" shapeId="0" xr:uid="{FAD3D5E9-5FE2-4639-812C-C3228FBEB08C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21%</t>
        </r>
      </text>
    </comment>
    <comment ref="AY54" authorId="2" shapeId="0" xr:uid="{B89E1460-0B82-4F4C-89EA-3863AFB90D31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21% Tax</t>
        </r>
      </text>
    </comment>
    <comment ref="AZ54" authorId="2" shapeId="0" xr:uid="{2EA7807F-739A-44FF-B5C0-CCA480FFF6BB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21% Tax Rate</t>
        </r>
      </text>
    </comment>
    <comment ref="BA54" authorId="2" shapeId="0" xr:uid="{A24B62FC-6C99-4AC7-B7FA-FD6C18B02578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1QCY21 Guide 21%
2QCY21 Guide 21%
3QCY21 Guide 21%</t>
        </r>
      </text>
    </comment>
    <comment ref="BB54" authorId="3" shapeId="0" xr:uid="{E0EF2E69-EAC5-4A34-894C-30D8D113CFE9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Guide 24%</t>
        </r>
      </text>
    </comment>
    <comment ref="BC54" authorId="3" shapeId="0" xr:uid="{AF3E6F5C-82F6-44B5-AA10-2E28F8EE1BDF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24%</t>
        </r>
      </text>
    </comment>
    <comment ref="BD54" authorId="3" shapeId="0" xr:uid="{20E23E7E-09A9-4162-904F-FB2907AF059A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24%</t>
        </r>
      </text>
    </comment>
    <comment ref="BF54" authorId="3" shapeId="0" xr:uid="{2F690D67-9A69-417D-8247-A29E2D87DBD3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Guide 24%
24%</t>
        </r>
      </text>
    </comment>
    <comment ref="BG54" authorId="4" shapeId="0" xr:uid="{1172B8D4-6E7C-44B1-AE5A-642F84B100F5}">
      <text>
        <r>
          <rPr>
            <b/>
            <sz val="9"/>
            <color indexed="81"/>
            <rFont val="Tahoma"/>
            <family val="2"/>
          </rPr>
          <t>Black, Ian:</t>
        </r>
        <r>
          <rPr>
            <sz val="9"/>
            <color indexed="81"/>
            <rFont val="Tahoma"/>
            <family val="2"/>
          </rPr>
          <t xml:space="preserve">
Guide: 24%</t>
        </r>
      </text>
    </comment>
    <comment ref="BH54" authorId="3" shapeId="0" xr:uid="{425202CC-8A6C-44BD-A0C1-C14D13B3DAB5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24%</t>
        </r>
      </text>
    </comment>
    <comment ref="BI54" authorId="3" shapeId="0" xr:uid="{DB7D1F7A-A23E-4010-8996-F58B38C602B8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24%</t>
        </r>
      </text>
    </comment>
    <comment ref="BK54" authorId="4" shapeId="0" xr:uid="{92277F41-1BFF-4B8B-9916-A928B108891F}">
      <text>
        <r>
          <rPr>
            <b/>
            <sz val="9"/>
            <color indexed="81"/>
            <rFont val="Tahoma"/>
            <family val="2"/>
          </rPr>
          <t>Black, Ian:</t>
        </r>
        <r>
          <rPr>
            <sz val="9"/>
            <color indexed="81"/>
            <rFont val="Tahoma"/>
            <family val="2"/>
          </rPr>
          <t xml:space="preserve">
Guide: 24%</t>
        </r>
      </text>
    </comment>
    <comment ref="BL54" authorId="3" shapeId="0" xr:uid="{340FB3FE-E5B9-445A-A6D6-946AFADE287D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21%</t>
        </r>
      </text>
    </comment>
    <comment ref="BN54" authorId="5" shapeId="0" xr:uid="{EFA808E0-2B12-4A5B-BA74-F935C8E4721B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21%</t>
        </r>
      </text>
    </comment>
    <comment ref="BO54" authorId="3" shapeId="0" xr:uid="{65CD957D-443A-47F2-A7C6-97DC677F8C81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21%</t>
        </r>
      </text>
    </comment>
    <comment ref="BP54" authorId="5" shapeId="0" xr:uid="{8C170130-4B5B-4AF5-8E35-463DBA986958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21%</t>
        </r>
      </text>
    </comment>
    <comment ref="BQ54" authorId="3" shapeId="0" xr:uid="{0F91ECB0-53F2-45AE-8AA0-39E5C8D23A0C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21%</t>
        </r>
      </text>
    </comment>
    <comment ref="BR54" authorId="6" shapeId="0" xr:uid="{76D03919-F117-4E4A-AF6A-1F76DD51729C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21.0%</t>
        </r>
      </text>
    </comment>
    <comment ref="BS54" authorId="6" shapeId="0" xr:uid="{BB3D591F-003B-4482-AA04-459E83871E4D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21.0%</t>
        </r>
      </text>
    </comment>
    <comment ref="BT54" authorId="6" shapeId="0" xr:uid="{A48EC9D4-2CC5-48E7-95AC-0C5BEE38F89C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21%</t>
        </r>
      </text>
    </comment>
    <comment ref="BU54" authorId="3" shapeId="0" xr:uid="{4EBB1DB5-58E9-4810-8EF5-48BD98264F23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4QCY24: 21%
1QCY25: 21%
2QCY25: 21%
3QCY25: 21%</t>
        </r>
      </text>
    </comment>
    <comment ref="BV54" authorId="5" shapeId="0" xr:uid="{FF07FAA3-E26E-484E-AFF7-1C236650BB81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20%</t>
        </r>
      </text>
    </comment>
    <comment ref="BZ54" authorId="5" shapeId="0" xr:uid="{40622D64-CA65-46CB-9E1D-BD00A7DA0959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4QCY25: 20%</t>
        </r>
      </text>
    </comment>
    <comment ref="AH56" authorId="0" shapeId="0" xr:uid="{00000000-0006-0000-0500-000027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(Implied): 13.3-14.1</t>
        </r>
      </text>
    </comment>
    <comment ref="AI56" authorId="0" shapeId="0" xr:uid="{00000000-0006-0000-0500-000028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Guide(Implied): 13.9-14.8</t>
        </r>
      </text>
    </comment>
    <comment ref="AJ56" authorId="0" shapeId="0" xr:uid="{00000000-0006-0000-0500-000029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Guide-implied: 15.6-16.5</t>
        </r>
      </text>
    </comment>
    <comment ref="AK56" authorId="0" shapeId="0" xr:uid="{00000000-0006-0000-0500-00002A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Guide(Implied): 16.341-17.179</t>
        </r>
      </text>
    </comment>
    <comment ref="AL56" authorId="0" shapeId="0" xr:uid="{00000000-0006-0000-0500-00002B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Guide(CY4Q17-Implied): 58.4-60.5
Guide(CY1Q18-Implied):
Guide(CY2Q18-Implied): 61.5-63.2
Guide(CY3Q18-Implied): 68.04-68.88</t>
        </r>
      </text>
    </comment>
    <comment ref="AM56" authorId="0" shapeId="0" xr:uid="{00000000-0006-0000-0500-00002C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Guide(Implied): 17.056-17.888</t>
        </r>
      </text>
    </comment>
    <comment ref="AN56" authorId="0" shapeId="0" xr:uid="{00000000-0006-0000-0500-00002D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19,136-19,968</t>
        </r>
      </text>
    </comment>
    <comment ref="AQ56" authorId="0" shapeId="0" xr:uid="{00000000-0006-0000-0500-00002E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Guide(CY4Q18-Implied): 77.464-79.569
1Q19: 79,569-81,674
2Q19: </t>
        </r>
      </text>
    </comment>
    <comment ref="AD59" authorId="0" shapeId="0" xr:uid="{00000000-0006-0000-0500-00002F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$0.19-$0.21</t>
        </r>
      </text>
    </comment>
    <comment ref="AE59" authorId="0" shapeId="0" xr:uid="{00000000-0006-0000-0500-000030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$0.21-$0.23</t>
        </r>
      </text>
    </comment>
    <comment ref="AF59" authorId="0" shapeId="0" xr:uid="{00000000-0006-0000-0500-000031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0.27-0.29</t>
        </r>
      </text>
    </comment>
    <comment ref="AG59" authorId="0" shapeId="0" xr:uid="{00000000-0006-0000-0500-000032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(Q1): $0.81-$0.86
Guide (Q2): $0.87-$0.91
Guide (Q3): $1.04-$1.06</t>
        </r>
      </text>
    </comment>
    <comment ref="AH59" authorId="0" shapeId="0" xr:uid="{00000000-0006-0000-0500-000033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.32-.34</t>
        </r>
      </text>
    </comment>
    <comment ref="AI59" authorId="0" shapeId="0" xr:uid="{00000000-0006-0000-0500-000034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.33-.35</t>
        </r>
      </text>
    </comment>
    <comment ref="AJ59" authorId="0" shapeId="0" xr:uid="{00000000-0006-0000-0500-000035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0.37-0.39</t>
        </r>
      </text>
    </comment>
    <comment ref="AK59" authorId="0" shapeId="0" xr:uid="{00000000-0006-0000-0500-000036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0.39-0.41</t>
        </r>
      </text>
    </comment>
    <comment ref="AL59" authorId="0" shapeId="0" xr:uid="{00000000-0006-0000-0500-000037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Guide(CY4Q17): 1.39-1.44
Guide(CY1Q18): 1.43-1.48
Guide(CY2Q18): 1.46-1.50
Guide(CY3Q18): 1.62-1.64</t>
        </r>
      </text>
    </comment>
    <comment ref="AM59" authorId="0" shapeId="0" xr:uid="{00000000-0006-0000-0500-000038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0.41-0.43</t>
        </r>
      </text>
    </comment>
    <comment ref="AN59" authorId="0" shapeId="0" xr:uid="{00000000-0006-0000-0500-000039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0.46-0.48</t>
        </r>
      </text>
    </comment>
    <comment ref="AO59" authorId="1" shapeId="0" xr:uid="{00000000-0006-0000-0500-00003A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0.52-0.54</t>
        </r>
      </text>
    </comment>
    <comment ref="AP59" authorId="1" shapeId="0" xr:uid="{00000000-0006-0000-0500-00003B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0.57-0.59</t>
        </r>
      </text>
    </comment>
    <comment ref="AQ59" authorId="0" shapeId="0" xr:uid="{00000000-0006-0000-0500-00003C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Guide(CY4Q18): 1.84-1.89
1Q19: 1.89-1.94
2Q19: 2.03-2.07
CY3Q: 2.28-2.30</t>
        </r>
      </text>
    </comment>
    <comment ref="AR59" authorId="1" shapeId="0" xr:uid="{00000000-0006-0000-0500-00003D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0.60-0.62</t>
        </r>
      </text>
    </comment>
    <comment ref="AS59" authorId="1" shapeId="0" xr:uid="{00000000-0006-0000-0500-00003E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.63-.65</t>
        </r>
      </text>
    </comment>
    <comment ref="AT59" authorId="1" shapeId="0" xr:uid="{00000000-0006-0000-0500-00003F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0.65-.67
</t>
        </r>
      </text>
    </comment>
    <comment ref="AU59" authorId="1" shapeId="0" xr:uid="{00000000-0006-0000-0500-000040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0.69-0.71</t>
        </r>
      </text>
    </comment>
    <comment ref="AV59" authorId="1" shapeId="0" xr:uid="{00000000-0006-0000-0500-000041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4Q19: 2.57-2.62
1Q20: 2.46-2.51
2Q20: 2.60-2.65</t>
        </r>
      </text>
    </comment>
    <comment ref="AW59" authorId="2" shapeId="0" xr:uid="{EAC01A3D-ACC4-49C9-82DC-A99AB815FAC3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$0.68-$0.70</t>
        </r>
      </text>
    </comment>
    <comment ref="AX59" authorId="2" shapeId="0" xr:uid="{3442D561-0C04-4D4E-9695-61B00AC9197A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$0.67-$0.69</t>
        </r>
      </text>
    </comment>
    <comment ref="AY59" authorId="2" shapeId="0" xr:uid="{E7D5088F-3F71-4D4E-A5FD-0ADB1D8EA666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$0.78-$0.80</t>
        </r>
      </text>
    </comment>
    <comment ref="AZ59" authorId="2" shapeId="0" xr:uid="{1A840C4A-4F63-44D6-80F6-EEFBA53E547F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$0.78-$0.80</t>
        </r>
      </text>
    </comment>
    <comment ref="BA59" authorId="2" shapeId="0" xr:uid="{D5508B49-AD5E-44E7-8231-0CFDE4A98F0B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4QCY20 Guide $2.60-$2.65
1QCY21 Guide: $2.67-$2.72
2QYC21 Guide: $3.02-$3.07
3QCY21 Guide: $3.16-$3.18</t>
        </r>
      </text>
    </comment>
    <comment ref="BB59" authorId="3" shapeId="0" xr:uid="{C8B01187-2FC5-4061-86CC-B52DDEA14C44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Guide $0.80-$0.82</t>
        </r>
      </text>
    </comment>
    <comment ref="BC59" authorId="3" shapeId="0" xr:uid="{2DC74C91-F04B-42C2-86AB-9910F72FE9AE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$.78-$.80</t>
        </r>
      </text>
    </comment>
    <comment ref="BD59" authorId="3" shapeId="0" xr:uid="{BB898FFC-0159-487A-8CD5-B75992C5A801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Guide: $0.85-$0.87</t>
        </r>
      </text>
    </comment>
    <comment ref="BE59" authorId="3" shapeId="0" xr:uid="{E9DC1843-D072-470F-9BB5-149B67BA4390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Guide: $0.89-$0.91</t>
        </r>
      </text>
    </comment>
    <comment ref="BF59" authorId="3" shapeId="0" xr:uid="{A006C16E-872E-4A00-8AA9-37573BF12395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$2.87-$2.92
$3.13-$3.17
$3.50-$3.55
$3.60-$3.62</t>
        </r>
      </text>
    </comment>
    <comment ref="BG59" authorId="4" shapeId="0" xr:uid="{D500F705-6424-4065-9752-B79537AC3A73}">
      <text>
        <r>
          <rPr>
            <b/>
            <sz val="9"/>
            <color indexed="81"/>
            <rFont val="Tahoma"/>
            <family val="2"/>
          </rPr>
          <t>Black, Ian:</t>
        </r>
        <r>
          <rPr>
            <sz val="9"/>
            <color indexed="81"/>
            <rFont val="Tahoma"/>
            <family val="2"/>
          </rPr>
          <t xml:space="preserve">
Guide: $0.95-$0.97</t>
        </r>
      </text>
    </comment>
    <comment ref="BH59" authorId="3" shapeId="0" xr:uid="{9839DCA2-476D-4A43-BE00-C0BCAD4C4EF8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$0.98-$1.03</t>
        </r>
      </text>
    </comment>
    <comment ref="BI59" authorId="3" shapeId="0" xr:uid="{000B10BF-2522-442D-92C9-24D4276B6A37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1.10-1.15</t>
        </r>
      </text>
    </comment>
    <comment ref="BK59" authorId="4" shapeId="0" xr:uid="{DDC3422D-21DA-47FD-9817-1A6E271DD2D8}">
      <text>
        <r>
          <rPr>
            <b/>
            <sz val="9"/>
            <color indexed="81"/>
            <rFont val="Tahoma"/>
            <family val="2"/>
          </rPr>
          <t>Black, Ian:</t>
        </r>
        <r>
          <rPr>
            <sz val="9"/>
            <color indexed="81"/>
            <rFont val="Tahoma"/>
            <family val="2"/>
          </rPr>
          <t xml:space="preserve">
2Q Guide: $4.50-$4.65
CY1Q23 Guide: $4.13-$4.28
init Guide: $4.10-$4.18
</t>
        </r>
      </text>
    </comment>
    <comment ref="BL59" authorId="5" shapeId="0" xr:uid="{0B705231-30DF-4012-A0F0-E0A2D2E98DA4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$1.27-$1.35</t>
        </r>
      </text>
    </comment>
    <comment ref="BM59" authorId="5" shapeId="0" xr:uid="{D85DD708-6B17-4331-B988-C20D68D6453B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$1.27-$1.35</t>
        </r>
      </text>
    </comment>
    <comment ref="BN59" authorId="5" shapeId="0" xr:uid="{B4A1DF18-9A5B-4815-95D1-25DB00282A8F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$1.28-$$1.36</t>
        </r>
      </text>
    </comment>
    <comment ref="BO59" authorId="3" shapeId="0" xr:uid="{335D5568-1856-43D8-9074-2FECF6FE0C6B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1.28-1.38</t>
        </r>
      </text>
    </comment>
    <comment ref="BP59" authorId="5" shapeId="0" xr:uid="{B4AE9395-BC61-46ED-94CE-EEEC99D8FB59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Q3: $5.81-5.91
Q2: $5.46-$5.62
Q1: $5.06-$5.30
Q4: $4.95-$5.27
</t>
        </r>
      </text>
    </comment>
    <comment ref="BQ59" authorId="3" shapeId="0" xr:uid="{40A6037C-C5CD-40E2-8B3C-E9F8E77856E8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$1.40-$1.50</t>
        </r>
      </text>
    </comment>
    <comment ref="BR59" authorId="6" shapeId="0" xr:uid="{CA8BF10A-19C1-4E2E-B479-6B79B6E717CF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$1.40-$1.50</t>
        </r>
      </text>
    </comment>
    <comment ref="BS59" authorId="6" shapeId="0" xr:uid="{EE3A8C69-FE42-4A1D-B417-F45C0E873A1B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$1.50-$1.60</t>
        </r>
      </text>
    </comment>
    <comment ref="BT59" authorId="6" shapeId="0" xr:uid="{F3BAF063-6711-4781-ADF7-F633F2068084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$1.73-$1.80</t>
        </r>
      </text>
    </comment>
    <comment ref="BU59" authorId="3" shapeId="0" xr:uid="{FF8F1362-A8AA-4E24-9C1C-450D981FF399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4QCY24: $5.50-$5.90
1QCY25: $6.00-$6.30
2QCY25: $6.20-$6.50
3QCY25: $6.93-$7.00</t>
        </r>
      </text>
    </comment>
    <comment ref="BV59" authorId="5" shapeId="0" xr:uid="{ECCC381E-65F7-4EC9-B36E-287F27C93B92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$1.76-$1.83</t>
        </r>
      </text>
    </comment>
    <comment ref="BZ59" authorId="5" shapeId="0" xr:uid="{50E5BD23-7D4C-4455-A65A-D3E6DE237749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4QCY25: $7.17-$7.45</t>
        </r>
      </text>
    </comment>
    <comment ref="AF62" authorId="0" shapeId="0" xr:uid="{00000000-0006-0000-0500-000042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41.1 million shares</t>
        </r>
      </text>
    </comment>
    <comment ref="AG62" authorId="0" shapeId="0" xr:uid="{00000000-0006-0000-0500-000043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(Q2): $39.9 million up from $39.6 million
Guide (Q3): $40.0 million shares</t>
        </r>
      </text>
    </comment>
    <comment ref="AH62" authorId="0" shapeId="0" xr:uid="{00000000-0006-0000-0500-000044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41.6 million</t>
        </r>
      </text>
    </comment>
    <comment ref="AI62" authorId="0" shapeId="0" xr:uid="{00000000-0006-0000-0500-000045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42.2</t>
        </r>
      </text>
    </comment>
    <comment ref="AJ62" authorId="0" shapeId="0" xr:uid="{00000000-0006-0000-0500-000046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~42.2</t>
        </r>
      </text>
    </comment>
    <comment ref="AK62" authorId="0" shapeId="0" xr:uid="{00000000-0006-0000-0500-000047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41.9</t>
        </r>
      </text>
    </comment>
    <comment ref="AL62" authorId="0" shapeId="0" xr:uid="{00000000-0006-0000-0500-000048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Guide(CY4Q17): 42.0 million
Guide(CY1Q18): 42.1 million
Guide(CY2Q18): 42.1 million
Guide(CY3Q18): 42.0</t>
        </r>
      </text>
    </comment>
    <comment ref="AM62" authorId="0" shapeId="0" xr:uid="{00000000-0006-0000-0500-000049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41.6</t>
        </r>
      </text>
    </comment>
    <comment ref="AN62" authorId="0" shapeId="0" xr:uid="{00000000-0006-0000-0500-00004A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41.6</t>
        </r>
      </text>
    </comment>
    <comment ref="AQ62" authorId="0" shapeId="0" xr:uid="{00000000-0006-0000-0500-00004B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Guide(CY4Q18): 42.1
1Q19: 41.8
2Q19:</t>
        </r>
      </text>
    </comment>
    <comment ref="AR62" authorId="1" shapeId="0" xr:uid="{00000000-0006-0000-0500-00004C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40.9</t>
        </r>
      </text>
    </comment>
    <comment ref="AS62" authorId="1" shapeId="0" xr:uid="{00000000-0006-0000-0500-00004D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40.8</t>
        </r>
      </text>
    </comment>
    <comment ref="AT62" authorId="1" shapeId="0" xr:uid="{00000000-0006-0000-0500-00004E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41</t>
        </r>
      </text>
    </comment>
    <comment ref="AV62" authorId="1" shapeId="0" xr:uid="{00000000-0006-0000-0500-00004F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4Q19: 40.9
CY2Q: 41</t>
        </r>
      </text>
    </comment>
    <comment ref="AW62" authorId="2" shapeId="0" xr:uid="{0D200750-EDD0-4949-BA4F-6AFCF53A02D1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40.6M S/O</t>
        </r>
      </text>
    </comment>
    <comment ref="AX62" authorId="2" shapeId="0" xr:uid="{3780667B-ECD9-45A2-BE2B-EA25F443D6F7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40.3M S/O</t>
        </r>
      </text>
    </comment>
    <comment ref="AY62" authorId="2" shapeId="0" xr:uid="{FAF7821F-5076-41A9-8B04-433E4517F1A5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39.9M S/O</t>
        </r>
      </text>
    </comment>
    <comment ref="AZ62" authorId="2" shapeId="0" xr:uid="{FA8FD429-4351-4599-BF67-45820766DD0A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Guide 39.8M Diluted S/O</t>
        </r>
      </text>
    </comment>
    <comment ref="BA62" authorId="2" shapeId="0" xr:uid="{AABBB200-F1CB-42D3-9FF0-1C80BAE49CB1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4QCY20 Guide 40.8M S/O
1QCY21 Guide: 40.4M S/O
2QCY21 Guide: 40.1M S/O
3QCY21 Guide: 40.1M S/O</t>
        </r>
      </text>
    </comment>
    <comment ref="BB62" authorId="3" shapeId="0" xr:uid="{110EDB59-DB61-498F-AA9B-4FC3A8681B17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Guide 40.2M</t>
        </r>
      </text>
    </comment>
    <comment ref="BC62" authorId="3" shapeId="0" xr:uid="{23C723C6-5090-4D96-AB80-ECECDC3A8072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39.9m</t>
        </r>
      </text>
    </comment>
    <comment ref="BD62" authorId="3" shapeId="0" xr:uid="{294D9D2F-576C-481A-BF8A-F5A4A34C28ED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39.2mm</t>
        </r>
      </text>
    </comment>
    <comment ref="BF62" authorId="3" shapeId="0" xr:uid="{553BC76A-8DF3-4B15-AB49-0765594C3F28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39.5mm</t>
        </r>
      </text>
    </comment>
    <comment ref="BG62" authorId="4" shapeId="0" xr:uid="{17E4C7A7-D7B0-416F-B387-4CBC72F1E57A}">
      <text>
        <r>
          <rPr>
            <b/>
            <sz val="9"/>
            <color indexed="81"/>
            <rFont val="Tahoma"/>
            <family val="2"/>
          </rPr>
          <t>Black, Ian:</t>
        </r>
        <r>
          <rPr>
            <sz val="9"/>
            <color indexed="81"/>
            <rFont val="Tahoma"/>
            <family val="2"/>
          </rPr>
          <t xml:space="preserve">
Guide: 37.6M</t>
        </r>
      </text>
    </comment>
    <comment ref="BH62" authorId="3" shapeId="0" xr:uid="{B30E93E4-BBD5-4EB5-ACD1-8042B01AAACA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37.5mm</t>
        </r>
      </text>
    </comment>
    <comment ref="BI62" authorId="3" shapeId="0" xr:uid="{3942301D-9E5A-4289-9F79-3C1E7A5A14E2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37.3</t>
        </r>
      </text>
    </comment>
    <comment ref="BK62" authorId="4" shapeId="0" xr:uid="{789F6841-75A9-4EAB-8403-F83D61B0F72F}">
      <text>
        <r>
          <rPr>
            <b/>
            <sz val="9"/>
            <color indexed="81"/>
            <rFont val="Tahoma"/>
            <family val="2"/>
          </rPr>
          <t>Black, Ian:</t>
        </r>
        <r>
          <rPr>
            <sz val="9"/>
            <color indexed="81"/>
            <rFont val="Tahoma"/>
            <family val="2"/>
          </rPr>
          <t xml:space="preserve">
Guide: 37.4M</t>
        </r>
      </text>
    </comment>
    <comment ref="BL62" authorId="5" shapeId="0" xr:uid="{A6138547-E1D2-406B-80EB-55044330C41A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37.9m</t>
        </r>
      </text>
    </comment>
    <comment ref="BN62" authorId="5" shapeId="0" xr:uid="{CF33A47F-394B-4E4B-A822-7348271F7512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37.4m</t>
        </r>
      </text>
    </comment>
    <comment ref="BO62" authorId="3" shapeId="0" xr:uid="{2D445C98-5730-4D89-B8F9-1B52BC21B4B8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36.9m</t>
        </r>
      </text>
    </comment>
    <comment ref="BP62" authorId="5" shapeId="0" xr:uid="{8E1896A1-C26C-435D-AC13-4AC2BEE767BB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Q3: 37.4m
Q2: 37.5m
37.9m
</t>
        </r>
      </text>
    </comment>
    <comment ref="BQ62" authorId="3" shapeId="0" xr:uid="{C4F7915B-122E-41DB-A12B-DB8FD03066D0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37m</t>
        </r>
      </text>
    </comment>
    <comment ref="BR62" authorId="6" shapeId="0" xr:uid="{EB20C582-F349-4ACB-AFFC-BE6261D55537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36.5M Diluted</t>
        </r>
      </text>
    </comment>
    <comment ref="BS62" authorId="6" shapeId="0" xr:uid="{B0577338-A4E1-4ED8-A859-6AE0591E38E1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36.3M</t>
        </r>
      </text>
    </comment>
    <comment ref="BT62" authorId="6" shapeId="0" xr:uid="{EBF661D4-C213-4002-8CB8-B752423F7BDD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Guide: 36.0M</t>
        </r>
      </text>
    </comment>
    <comment ref="BU62" authorId="3" shapeId="0" xr:uid="{CBFEBC0E-F2CD-4342-98B6-462A0F864E2C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4QCY24: 36.9M Diluted
1QCY25: 36.4M Diluted
2QCY25: 36.4M Diluted
3QCY25: 36.4M Diluted</t>
        </r>
      </text>
    </comment>
    <comment ref="BV62" authorId="5" shapeId="0" xr:uid="{8F7AD3A9-1122-4349-B4C9-E2DBBFA511A1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36M</t>
        </r>
      </text>
    </comment>
    <comment ref="BZ62" authorId="5" shapeId="0" xr:uid="{8DE23BBF-EA88-4745-9E8D-CFD18B23AF01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4QCY25: 35.4M</t>
        </r>
      </text>
    </comment>
    <comment ref="BP66" authorId="5" shapeId="0" xr:uid="{6E46CBA7-CCD6-4B93-B047-53D05E1AAD3A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Q2: 43-44%
Q4: low 40s%
</t>
        </r>
      </text>
    </comment>
    <comment ref="BU66" authorId="3" shapeId="0" xr:uid="{11925E12-C7F1-4353-BD9B-DA6EFF42F75E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4QCY24: low 40%
1QCY25: Low-Mid 40%
2QCY25: Low-Mid 40%
3QCY25: Mid-High 40%</t>
        </r>
      </text>
    </comment>
    <comment ref="BZ66" authorId="5" shapeId="0" xr:uid="{DD29192D-450F-4FCD-A0AF-3BCA263182EA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4QCY25: mid 40s%</t>
        </r>
      </text>
    </comment>
    <comment ref="BP68" authorId="5" shapeId="0" xr:uid="{A2CE53E6-F867-4FA0-9C51-698C6F216717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mid 30s%
Q2: mid-high 30%s</t>
        </r>
      </text>
    </comment>
    <comment ref="BU68" authorId="3" shapeId="0" xr:uid="{F2E0F072-73DC-44AA-B68A-8D54D287674A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4QCY24: low to mid 30%
1QCY25: Mid-30%
2QCY25: Mid-30%
3QCY25: Low-40%</t>
        </r>
      </text>
    </comment>
    <comment ref="B69" authorId="0" shapeId="0" xr:uid="{00000000-0006-0000-0500-000050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Provided on Annual/Quarterly filings</t>
        </r>
      </text>
    </comment>
    <comment ref="BL69" authorId="3" shapeId="0" xr:uid="{7B6A0366-BC8E-4C8A-B272-6B56A8C54986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75% of FTE's ex-US with 66% in India</t>
        </r>
      </text>
    </comment>
    <comment ref="BO69" authorId="6" shapeId="0" xr:uid="{32D7E130-E084-4E8F-B508-BE8E93574FA8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77% of employees outside the US (68% based in India)
R&amp;D: 1,144
S&amp;M: 474
Operations &amp; Customer Support: 554
G&amp;A: 228
(10-K: Human Capital Resources)</t>
        </r>
      </text>
    </comment>
    <comment ref="BQ69" authorId="6" shapeId="0" xr:uid="{59C2A659-1243-4290-A955-7D6FC5C82E55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77% of employees outside the US (69% based in India)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Dezort, Matt</author>
    <author>Cikos, Michael</author>
    <author>Calitri, Matthew</author>
    <author>Hopson, Jeffrey</author>
    <author>Park, Daniel</author>
    <author>Boyd, Roger</author>
  </authors>
  <commentList>
    <comment ref="BN14" authorId="0" shapeId="0" xr:uid="{A701ED0B-97A7-4555-B08F-8C03F668A43A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Billings growth to mirror Rev growth in 2H</t>
        </r>
      </text>
    </comment>
    <comment ref="BK21" authorId="0" shapeId="0" xr:uid="{E4465C28-E79F-4327-8268-2DA2D15C1F78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To re-accelerate every Q from Q1</t>
        </r>
      </text>
    </comment>
    <comment ref="AX23" authorId="1" shapeId="0" xr:uid="{F6CEA2C1-F295-4DF2-9BB2-61C41A18A962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was expected to recover from 1Q as a result of the shift of a large renewal that moved from 1Q to 2Q -- which was a tailwind to 2Q by "a few percentage points". But this number also included several irregularities which is why mgmt is focusing on LTM Billings which is +13% YoY vs +8% in 1Q</t>
        </r>
      </text>
    </comment>
    <comment ref="BD23" authorId="0" shapeId="0" xr:uid="{2131373E-250E-42FE-B6BE-C23F904EFF76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~200BP headwind from FX in CY3Q and impacted by mult-year upfront deals</t>
        </r>
      </text>
    </comment>
    <comment ref="BH23" authorId="0" shapeId="0" xr:uid="{4AFD20B6-D014-4257-80BA-1332200D7F45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&gt;9% yoy</t>
        </r>
      </text>
    </comment>
    <comment ref="BJ23" authorId="0" shapeId="0" xr:uid="{00E13471-50EB-4845-AA18-DA76F19DC4A6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Large renewals: +$5m/400bps
At UBS Conf: 13-14%
Guide: 13%-14% on call</t>
        </r>
      </text>
    </comment>
    <comment ref="BO23" authorId="0" shapeId="0" xr:uid="{2C46BE13-EC24-4BD2-A2B9-CAEF379CC4C2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to mirror Revenue growth / 7-9% yoy</t>
        </r>
      </text>
    </comment>
    <comment ref="BQ23" authorId="0" shapeId="0" xr:uid="{204C75FD-F472-4E27-89DF-F94617BE9542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7-9%</t>
        </r>
      </text>
    </comment>
    <comment ref="BS23" authorId="2" shapeId="0" xr:uid="{A508BA7A-7045-48F2-88C5-561201033F81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Tougher comp in 2H so expect 5%-7% growth despite better 1H</t>
        </r>
      </text>
    </comment>
    <comment ref="BU23" authorId="0" shapeId="0" xr:uid="{634042A2-A541-4093-B459-334D2A8DEEA3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4Q guide: 6-8% same as Revs
2QCY25: 6%-8% same as Revs
3QCY25: 8% - couple points below Revenue</t>
        </r>
      </text>
    </comment>
    <comment ref="BZ23" authorId="3" shapeId="0" xr:uid="{D74A2216-E753-45BE-8FEA-EC6CC4EA622F}">
      <text>
        <r>
          <rPr>
            <b/>
            <sz val="9"/>
            <color indexed="81"/>
            <rFont val="Tahoma"/>
            <family val="2"/>
          </rPr>
          <t>Hopson, Jeffrey:</t>
        </r>
        <r>
          <rPr>
            <sz val="9"/>
            <color indexed="81"/>
            <rFont val="Tahoma"/>
            <family val="2"/>
          </rPr>
          <t xml:space="preserve">
4QCY25: 7%-8%</t>
        </r>
      </text>
    </comment>
    <comment ref="BJ26" authorId="0" shapeId="0" xr:uid="{6E557A41-80A7-45DC-9A2E-1EEA06B7D265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Would've been 12% if not for invoice timing + large early renewals in Q4</t>
        </r>
      </text>
    </comment>
    <comment ref="AF36" authorId="4" shapeId="0" xr:uid="{00000000-0006-0000-0800-000001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61.7-62.2</t>
        </r>
      </text>
    </comment>
    <comment ref="AG36" authorId="4" shapeId="0" xr:uid="{00000000-0006-0000-0800-000002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(Q3): 229.6-230.1</t>
        </r>
      </text>
    </comment>
    <comment ref="AF38" authorId="4" shapeId="0" xr:uid="{00000000-0006-0000-0800-000003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18.1-19.1</t>
        </r>
      </text>
    </comment>
    <comment ref="AG38" authorId="4" shapeId="0" xr:uid="{00000000-0006-0000-0800-000004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(Q3): 16.0-16.3</t>
        </r>
      </text>
    </comment>
    <comment ref="AE39" authorId="4" shapeId="0" xr:uid="{00000000-0006-0000-0800-000005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1.5%</t>
        </r>
      </text>
    </comment>
    <comment ref="AF39" authorId="4" shapeId="0" xr:uid="{00000000-0006-0000-0800-000006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0.6</t>
        </r>
      </text>
    </comment>
    <comment ref="AG39" authorId="4" shapeId="0" xr:uid="{00000000-0006-0000-0800-000007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(Q2) 1.6%
Guide (Q3) 1.6%</t>
        </r>
      </text>
    </comment>
    <comment ref="AE40" authorId="4" shapeId="0" xr:uid="{00000000-0006-0000-0800-000008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1.1%</t>
        </r>
      </text>
    </comment>
    <comment ref="AF40" authorId="4" shapeId="0" xr:uid="{00000000-0006-0000-0800-000009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0.6</t>
        </r>
      </text>
    </comment>
    <comment ref="AG40" authorId="4" shapeId="0" xr:uid="{00000000-0006-0000-0800-00000A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(Q2): 1.1%
Guide (Q3): 1.1%</t>
        </r>
      </text>
    </comment>
    <comment ref="AF42" authorId="4" shapeId="0" xr:uid="{00000000-0006-0000-0800-00000B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19.3-20.3%</t>
        </r>
      </text>
    </comment>
    <comment ref="AG42" authorId="4" shapeId="0" xr:uid="{00000000-0006-0000-0800-00000C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(Q3): 18.6-18.9%</t>
        </r>
      </text>
    </comment>
    <comment ref="B65" authorId="4" shapeId="0" xr:uid="{00000000-0006-0000-0800-00000D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Included in Amortizaiton of Intangible Assets</t>
        </r>
      </text>
    </comment>
    <comment ref="AE71" authorId="4" shapeId="0" xr:uid="{00000000-0006-0000-0800-00000E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19%</t>
        </r>
      </text>
    </comment>
    <comment ref="AF71" authorId="4" shapeId="0" xr:uid="{00000000-0006-0000-0800-00000F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27%</t>
        </r>
      </text>
    </comment>
    <comment ref="AG71" authorId="4" shapeId="0" xr:uid="{00000000-0006-0000-0800-000010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(Q2): (36%)
Guide (Q3): (15%)</t>
        </r>
      </text>
    </comment>
    <comment ref="AH71" authorId="4" shapeId="0" xr:uid="{00000000-0006-0000-0800-000011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27%</t>
        </r>
      </text>
    </comment>
    <comment ref="AI71" authorId="4" shapeId="0" xr:uid="{00000000-0006-0000-0800-000012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27%</t>
        </r>
      </text>
    </comment>
    <comment ref="AJ71" authorId="4" shapeId="0" xr:uid="{00000000-0006-0000-0800-000013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26%</t>
        </r>
      </text>
    </comment>
    <comment ref="AK71" authorId="4" shapeId="0" xr:uid="{00000000-0006-0000-0800-000014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26%</t>
        </r>
      </text>
    </comment>
    <comment ref="AL71" authorId="4" shapeId="0" xr:uid="{00000000-0006-0000-0800-000015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Guide(CY4Q17): 27%
Guide(CY1Q18): 23%
Guide(CY2Q18): 18%
Guide(CY3Q18): 1%</t>
        </r>
      </text>
    </comment>
    <comment ref="AM71" authorId="4" shapeId="0" xr:uid="{00000000-0006-0000-0800-000016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26%</t>
        </r>
      </text>
    </comment>
    <comment ref="AN71" authorId="4" shapeId="0" xr:uid="{00000000-0006-0000-0800-000017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26%</t>
        </r>
      </text>
    </comment>
    <comment ref="AQ71" authorId="4" shapeId="0" xr:uid="{00000000-0006-0000-0800-000018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Guide(CY4Q18): 26%
1Q19: 23%</t>
        </r>
      </text>
    </comment>
    <comment ref="AE73" authorId="4" shapeId="0" xr:uid="{00000000-0006-0000-0800-000019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0.13-0.15 w/ 40.0 million diluted shares implies 5200-6000</t>
        </r>
      </text>
    </comment>
    <comment ref="AF73" authorId="4" shapeId="0" xr:uid="{00000000-0006-0000-0800-00001A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1.09-1.11 with 40.0 million shares implies 4360-4440</t>
        </r>
      </text>
    </comment>
    <comment ref="AG73" authorId="4" shapeId="0" xr:uid="{00000000-0006-0000-0800-00001B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(Q2): 1.02-1.06 w/ 39.9 million diluted shares implies 40,698-42,294
Guide (Q3): 1.09-1.11 w/ 40.0 million diluted shares implies 4360-4440</t>
        </r>
      </text>
    </comment>
    <comment ref="AH77" authorId="4" shapeId="0" xr:uid="{00000000-0006-0000-0800-00001C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Guide(Implied): 5.4-6.2</t>
        </r>
      </text>
    </comment>
    <comment ref="AI77" authorId="4" shapeId="0" xr:uid="{00000000-0006-0000-0800-00001D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Guide(Implied): 4.64-5.49</t>
        </r>
      </text>
    </comment>
    <comment ref="AJ77" authorId="4" shapeId="0" xr:uid="{00000000-0006-0000-0800-00001E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Guide(implied): 8.4-9.3</t>
        </r>
      </text>
    </comment>
    <comment ref="AK77" authorId="4" shapeId="0" xr:uid="{00000000-0006-0000-0800-00001F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 (implied): 7.123-7.961</t>
        </r>
      </text>
    </comment>
    <comment ref="AL77" authorId="4" shapeId="0" xr:uid="{00000000-0006-0000-0800-000020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Guide(CY4Q17-Implied): 29.8-31.9
Guide(CY1Q18-Implied): 31.2-33.3
Guide(CY2Q18-Implied): 35.4-37.1
Guide(CY3Q18-Implied): 49.98-50.82</t>
        </r>
      </text>
    </comment>
    <comment ref="AM77" authorId="4" shapeId="0" xr:uid="{00000000-0006-0000-0800-000021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Guide: 6.656-7.488</t>
        </r>
      </text>
    </comment>
    <comment ref="AN77" authorId="4" shapeId="0" xr:uid="{00000000-0006-0000-0800-000022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9,152-9,984</t>
        </r>
      </text>
    </comment>
    <comment ref="AQ77" authorId="4" shapeId="0" xr:uid="{00000000-0006-0000-0800-000023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Guide(CY4Q18): 37.89-39.995
1Q19: 42,636-44,726</t>
        </r>
      </text>
    </comment>
    <comment ref="AR77" authorId="5" shapeId="0" xr:uid="{00000000-0006-0000-0800-000024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14.3-15.1</t>
        </r>
      </text>
    </comment>
    <comment ref="AV77" authorId="5" shapeId="0" xr:uid="{00000000-0006-0000-0800-000025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4Q19: 65.4-67.5</t>
        </r>
      </text>
    </comment>
    <comment ref="AQ98" authorId="4" shapeId="0" xr:uid="{00000000-0006-0000-0800-000026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Guide(CY4Q18): 37%-38%
1Q19: 38-38.5</t>
        </r>
      </text>
    </comment>
    <comment ref="BC98" authorId="0" shapeId="0" xr:uid="{68350A58-FE93-4E5D-9604-369F14CA37BB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low 40%s</t>
        </r>
      </text>
    </comment>
    <comment ref="BK98" authorId="0" shapeId="0" xr:uid="{1C331954-C77D-4DC0-B432-5478DA9F7DDB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low 40%</t>
        </r>
      </text>
    </comment>
    <comment ref="BP98" authorId="0" shapeId="0" xr:uid="{A0926DBF-3FD2-449A-B393-BC5AC9666AD2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CY3Q: mid-40%</t>
        </r>
      </text>
    </comment>
    <comment ref="BU98" authorId="0" shapeId="0" xr:uid="{9F4835C1-108C-4D73-9927-EF65F7175891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4Q guide: low 40%</t>
        </r>
      </text>
    </comment>
    <comment ref="BD123" authorId="0" shapeId="0" xr:uid="{F8D4761A-D46B-48FF-8EB3-705EABC1F85A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Gross Retention low-90%s</t>
        </r>
      </text>
    </comment>
    <comment ref="B129" authorId="0" shapeId="0" xr:uid="{8DB3327C-BEA4-411E-B8F1-7CFDFB3B42DB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QLYS thinks about 70% of customer base as upper bound for VMDR penetration</t>
        </r>
      </text>
    </comment>
    <comment ref="BH197" authorId="0" shapeId="0" xr:uid="{5A04E569-FCDF-466C-88C0-58DCEB2BC4C7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First Q broken out</t>
        </r>
      </text>
    </comment>
    <comment ref="BI197" authorId="0" shapeId="0" xr:uid="{B76B4B7C-DBA5-433B-8F0D-D9F1FAADF90E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First Q broken out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Cikos, Michael</author>
    <author>Dezort, Matt</author>
    <author>A satisfied Microsoft Office user</author>
  </authors>
  <commentList>
    <comment ref="AY8" authorId="0" shapeId="0" xr:uid="{B2550674-7F74-45DC-9410-B79F26ED9CC7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Comes in 10-Q filing</t>
        </r>
      </text>
    </comment>
    <comment ref="BN9" authorId="1" shapeId="0" xr:uid="{39EE3E41-4F35-4F69-9028-0F15D05136D6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Mostly in Europe</t>
        </r>
      </text>
    </comment>
    <comment ref="BK11" authorId="1" shapeId="0" xr:uid="{CB904520-1371-457C-B308-5E9260B70A85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23% of total Revenue in Foreign Currencies</t>
        </r>
      </text>
    </comment>
    <comment ref="B51" authorId="2" shapeId="0" xr:uid="{00000000-0006-0000-0600-000001000000}">
      <text>
        <r>
          <rPr>
            <sz val="8"/>
            <color indexed="81"/>
            <rFont val="Tahoma"/>
            <family val="2"/>
          </rPr>
          <t>primarily to Asia and Europe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Park, Daniel</author>
    <author>Cikos, Michael</author>
    <author>Dezort, Matt</author>
  </authors>
  <commentList>
    <comment ref="B8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This is reported in the 10Q/K</t>
        </r>
      </text>
    </comment>
    <comment ref="B9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This is reported in the 10Q/K</t>
        </r>
      </text>
    </comment>
    <comment ref="AD14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Per 10Q (Pg. 21) - Our VM Solutions have provided a substantial majority of our revenues to date, representing 75% for the six months ended June 30, 2017.</t>
        </r>
      </text>
    </comment>
    <comment ref="B43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This is reported in the qtrly presentation… or 10Q/K</t>
        </r>
      </text>
    </comment>
    <comment ref="AY43" authorId="1" shapeId="0" xr:uid="{04DCE3DB-6A79-4BB5-8B09-9E64FC0EE8A9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comes in 10-Q filing</t>
        </r>
      </text>
    </comment>
    <comment ref="BA43" authorId="2" shapeId="0" xr:uid="{2AE533FC-923C-4DC3-8599-C914F72A20E8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to be released in K</t>
        </r>
      </text>
    </comment>
    <comment ref="B44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Boyd, Roger:</t>
        </r>
        <r>
          <rPr>
            <sz val="9"/>
            <color indexed="81"/>
            <rFont val="Tahoma"/>
            <family val="2"/>
          </rPr>
          <t xml:space="preserve">
This is reported in the qtrly presentation… or 10Q/K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Dezort, Matt</author>
    <author>Calitri, Matthew</author>
    <author>Cikos, Michael</author>
  </authors>
  <commentList>
    <comment ref="B6" authorId="0" shapeId="0" xr:uid="{0F88FE1D-5E92-4E8E-A5B7-E4FE91C30434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From 10-K: Customers generally enter into 1-year renewal subscriptions for unlimited numner of scans for set amount of devices -- physical and virtual scanner devices  are used within some customer firewalls but do not function w/o and aren't sold separately from subscriptions</t>
        </r>
      </text>
    </comment>
    <comment ref="S8" authorId="0" shapeId="0" xr:uid="{2F3D9FF8-D203-4EAE-B437-C54136C37D41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given on call - stable qtr-qtr</t>
        </r>
      </text>
    </comment>
    <comment ref="T8" authorId="0" shapeId="0" xr:uid="{D9AB63FC-D24F-4552-901D-542ECF705DA4}">
      <text>
        <r>
          <rPr>
            <b/>
            <sz val="9"/>
            <color indexed="81"/>
            <rFont val="Tahoma"/>
            <family val="2"/>
          </rPr>
          <t>Dezort, Matt:</t>
        </r>
        <r>
          <rPr>
            <sz val="9"/>
            <color indexed="81"/>
            <rFont val="Tahoma"/>
            <family val="2"/>
          </rPr>
          <t xml:space="preserve">
SMB/SME GRR upper 80%</t>
        </r>
      </text>
    </comment>
    <comment ref="V8" authorId="1" shapeId="0" xr:uid="{E69503B3-A95F-49B5-92BC-D9D33FB29A2F}">
      <text>
        <r>
          <rPr>
            <b/>
            <sz val="9"/>
            <color indexed="81"/>
            <rFont val="Tahoma"/>
            <family val="2"/>
          </rPr>
          <t>Calitri, Matthew:</t>
        </r>
        <r>
          <rPr>
            <sz val="9"/>
            <color indexed="81"/>
            <rFont val="Tahoma"/>
            <family val="2"/>
          </rPr>
          <t xml:space="preserve">
Improved Gross Retention</t>
        </r>
      </text>
    </comment>
    <comment ref="Y8" authorId="2" shapeId="0" xr:uid="{BCDC7AE3-C9FF-460E-B8CA-C4BCB4B2813C}">
      <text>
        <r>
          <rPr>
            <b/>
            <sz val="9"/>
            <color indexed="81"/>
            <rFont val="Tahoma"/>
            <family val="2"/>
          </rPr>
          <t>Cikos, Michael:</t>
        </r>
        <r>
          <rPr>
            <sz val="9"/>
            <color indexed="81"/>
            <rFont val="Tahoma"/>
            <family val="2"/>
          </rPr>
          <t xml:space="preserve">
"remained comfortably above 90%, but saw a modest QoQ decline in 4Q"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Park, Daniel</author>
  </authors>
  <commentList>
    <comment ref="B1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Annual
</t>
        </r>
      </text>
    </comment>
    <comment ref="B1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Annual</t>
        </r>
      </text>
    </comment>
    <comment ref="B36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Released since 2015</t>
        </r>
      </text>
    </comment>
    <comment ref="AJ37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5M purchased by cloud platform customers. Without this, cloud agents would still have accelerated to 9.5M</t>
        </r>
      </text>
    </comment>
    <comment ref="B3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Park, Daniel:</t>
        </r>
        <r>
          <rPr>
            <sz val="9"/>
            <color indexed="81"/>
            <rFont val="Tahoma"/>
            <family val="2"/>
          </rPr>
          <t xml:space="preserve">
Released since 2015</t>
        </r>
      </text>
    </comment>
  </commentList>
</comments>
</file>

<file path=xl/sharedStrings.xml><?xml version="1.0" encoding="utf-8"?>
<sst xmlns="http://schemas.openxmlformats.org/spreadsheetml/2006/main" count="5254" uniqueCount="554">
  <si>
    <t>______</t>
  </si>
  <si>
    <t>Gross Profit</t>
  </si>
  <si>
    <t>Operating Income</t>
  </si>
  <si>
    <t>Revenue</t>
  </si>
  <si>
    <t>Cost Of Goods Sold (Non GAAP)</t>
  </si>
  <si>
    <t>Operating Expenses</t>
  </si>
  <si>
    <t xml:space="preserve">Research and Development </t>
  </si>
  <si>
    <t xml:space="preserve">   % of Revenue</t>
  </si>
  <si>
    <t>Total Operating Expenses</t>
  </si>
  <si>
    <t xml:space="preserve">   Operating Margin</t>
  </si>
  <si>
    <t>Pretax Income</t>
  </si>
  <si>
    <t xml:space="preserve">   Pretax Margin</t>
  </si>
  <si>
    <t>Income Tax Expense (Income)</t>
  </si>
  <si>
    <t xml:space="preserve">   Tax Rate</t>
  </si>
  <si>
    <t>Shares Outstanding</t>
  </si>
  <si>
    <t xml:space="preserve">(Percent of Revenue) </t>
  </si>
  <si>
    <t>Research and Development</t>
  </si>
  <si>
    <t>Income Tax</t>
  </si>
  <si>
    <t xml:space="preserve">(Year-To-Year Percent Change) </t>
  </si>
  <si>
    <t xml:space="preserve">(Quarter-To-Quarter Growth) </t>
  </si>
  <si>
    <t>ALL FISCAL DATA MUST BE ENTERED IN MILLION (INCLUDING NUMBER OF SHARE)</t>
  </si>
  <si>
    <t>NULL:FISCAL</t>
  </si>
  <si>
    <t xml:space="preserve">ALL PER SHARE DATA MUST BE IN UNIT </t>
  </si>
  <si>
    <t>ADJUSTED:FISCAL</t>
  </si>
  <si>
    <t>DATA MUST BE ENTERED IN THE CURRENCY OF THE COMPANY</t>
  </si>
  <si>
    <t>BASIC:FISCAL</t>
  </si>
  <si>
    <t>Click here to find a list of BlueMatrix Client Codes</t>
  </si>
  <si>
    <t>DILUTED:FISCAL</t>
  </si>
  <si>
    <t>Strong Buy</t>
  </si>
  <si>
    <t>GAAP:FISCAL</t>
  </si>
  <si>
    <t>Buy</t>
  </si>
  <si>
    <t>INDICATED:FISCAL</t>
  </si>
  <si>
    <t>Hold</t>
  </si>
  <si>
    <t>MANAGED:FISCAL</t>
  </si>
  <si>
    <t>Under Perform</t>
  </si>
  <si>
    <t>NON-GAAP:FISCAL</t>
  </si>
  <si>
    <t>Company name</t>
  </si>
  <si>
    <t>Rating Suspended</t>
  </si>
  <si>
    <t>OPERATING:FISCAL</t>
  </si>
  <si>
    <t>Rating</t>
  </si>
  <si>
    <t>RATING</t>
  </si>
  <si>
    <t>Restricted</t>
  </si>
  <si>
    <t>PRIMARY:FISCAL</t>
  </si>
  <si>
    <t>Currency</t>
  </si>
  <si>
    <t>USD</t>
  </si>
  <si>
    <t>Under Review</t>
  </si>
  <si>
    <t>PROFORMA:FISCAL</t>
  </si>
  <si>
    <t>Sell</t>
  </si>
  <si>
    <t>RESTATED:FISCAL</t>
  </si>
  <si>
    <t>12-Month Price Target</t>
  </si>
  <si>
    <t>TARGET_PRICE</t>
  </si>
  <si>
    <t>REVENUE:FISCAL</t>
  </si>
  <si>
    <t>Ticker</t>
  </si>
  <si>
    <t>E</t>
  </si>
  <si>
    <t>A</t>
  </si>
  <si>
    <t>NULL:CALENDAR</t>
  </si>
  <si>
    <t>ADJUSTED:CALENDAR</t>
  </si>
  <si>
    <r>
      <t xml:space="preserve">Current  Year </t>
    </r>
    <r>
      <rPr>
        <i/>
        <sz val="12"/>
        <rFont val="Arial"/>
        <family val="2"/>
      </rPr>
      <t>(Matching What Selected From Drop-down Bars - ie. Fiscal or Calendar)</t>
    </r>
  </si>
  <si>
    <r>
      <t xml:space="preserve">Current Base Quarter </t>
    </r>
    <r>
      <rPr>
        <i/>
        <sz val="12"/>
        <rFont val="Arial"/>
        <family val="2"/>
      </rPr>
      <t>(NOT one just reported - One After That)</t>
    </r>
  </si>
  <si>
    <t>Q2</t>
  </si>
  <si>
    <t>Q1</t>
  </si>
  <si>
    <t>Q3</t>
  </si>
  <si>
    <t>Q4</t>
  </si>
  <si>
    <t>AN</t>
  </si>
  <si>
    <t>BlueMatrix Time Series Grids</t>
  </si>
  <si>
    <t>Revenue ($M)</t>
  </si>
  <si>
    <t>REVENUE</t>
  </si>
  <si>
    <t>NON-GAAP:CALENDAR</t>
  </si>
  <si>
    <t>EPS</t>
  </si>
  <si>
    <t>FCF</t>
  </si>
  <si>
    <t>RESTATED:CALENDAR</t>
  </si>
  <si>
    <t>REVENUE:CALENDAR</t>
  </si>
  <si>
    <t>FFO</t>
  </si>
  <si>
    <t>Net Cash/Debt ($M)</t>
  </si>
  <si>
    <t>NET_CASH_DEBT</t>
  </si>
  <si>
    <t>Operating Margin</t>
  </si>
  <si>
    <t>OP_MARGIN</t>
  </si>
  <si>
    <t>ROIC</t>
  </si>
  <si>
    <t>Calendar Year = Fiscal Year (If yes =0, if less= -1, if more = 1)</t>
  </si>
  <si>
    <t>Fiscal 1Q Ending Month Number</t>
  </si>
  <si>
    <t>Fiscal 2Q Ending Month Number</t>
  </si>
  <si>
    <t>Fiscal 3Q Ending Month Number</t>
  </si>
  <si>
    <t>Fiscal 4Q Ending Month Number</t>
  </si>
  <si>
    <t>Actual</t>
  </si>
  <si>
    <t>Variance</t>
  </si>
  <si>
    <t>Q-Q</t>
  </si>
  <si>
    <t>Yr-Yr</t>
  </si>
  <si>
    <t>%</t>
  </si>
  <si>
    <t>Absolute</t>
  </si>
  <si>
    <t>BPs</t>
  </si>
  <si>
    <t>Sept</t>
  </si>
  <si>
    <t>Dec</t>
  </si>
  <si>
    <t>Mar</t>
  </si>
  <si>
    <t>June</t>
  </si>
  <si>
    <t>2014A</t>
  </si>
  <si>
    <t>2015A</t>
  </si>
  <si>
    <t>Current Assets</t>
  </si>
  <si>
    <t>Cash and Cash Equivalents</t>
  </si>
  <si>
    <t>Total Current Assets</t>
  </si>
  <si>
    <t>Deferred Income Taxes</t>
  </si>
  <si>
    <t>Total Assets</t>
  </si>
  <si>
    <t>Liabilities and Stock Holders' Equity</t>
  </si>
  <si>
    <t>Current Liabilities</t>
  </si>
  <si>
    <t>Accounts Payable</t>
  </si>
  <si>
    <t>Current Portion of Long Term Debt</t>
  </si>
  <si>
    <t>Restructuring Accrual</t>
  </si>
  <si>
    <t>Total Current Liabilities</t>
  </si>
  <si>
    <t>Total Liabilities</t>
  </si>
  <si>
    <t>Stockholders' Equity</t>
  </si>
  <si>
    <t>Total Liabilities and Equity</t>
  </si>
  <si>
    <t>Cash and Equivalent Per Share</t>
  </si>
  <si>
    <t>Debt</t>
  </si>
  <si>
    <t>Book Value Per Share</t>
  </si>
  <si>
    <t>DSO</t>
  </si>
  <si>
    <t xml:space="preserve">Cash from Investing Activity </t>
  </si>
  <si>
    <t xml:space="preserve">Cash Flows from Financing Activity </t>
  </si>
  <si>
    <t>2016A</t>
  </si>
  <si>
    <t>Other Long Term Liabilities</t>
  </si>
  <si>
    <t>Sales and Marketing</t>
  </si>
  <si>
    <t>General and Administrative</t>
  </si>
  <si>
    <t xml:space="preserve">General and Administrative </t>
  </si>
  <si>
    <t>Short-Term Investments</t>
  </si>
  <si>
    <t>Accounts Receivable, net</t>
  </si>
  <si>
    <t>Prepaid Expenses &amp; Other Current Assets</t>
  </si>
  <si>
    <t>Intangible Assets, net</t>
  </si>
  <si>
    <t>Property, Plant, And Equipment, net</t>
  </si>
  <si>
    <t>Deferred Revenue, Net of Current Portion</t>
  </si>
  <si>
    <t>Customers (Total)</t>
  </si>
  <si>
    <t xml:space="preserve">  Yr-Yr Growth</t>
  </si>
  <si>
    <t xml:space="preserve">   Q-Q Growth</t>
  </si>
  <si>
    <t>Total Revenues</t>
  </si>
  <si>
    <t>_________</t>
  </si>
  <si>
    <t>Percent Of Revenues</t>
  </si>
  <si>
    <t>Q-Q Growth</t>
  </si>
  <si>
    <t>Y-Y Growth</t>
  </si>
  <si>
    <t>Check From I/S</t>
  </si>
  <si>
    <t>Delta</t>
  </si>
  <si>
    <t>Headcount</t>
  </si>
  <si>
    <t>Adjusted EBITDA</t>
  </si>
  <si>
    <t>2017A</t>
  </si>
  <si>
    <t xml:space="preserve">NG-Net Income </t>
  </si>
  <si>
    <t xml:space="preserve">NG--Earnings Per Share </t>
  </si>
  <si>
    <t>Fiscal Year Ends December</t>
  </si>
  <si>
    <t>1Q-Mar 14A</t>
  </si>
  <si>
    <t>2Q-Jun 14A</t>
  </si>
  <si>
    <t>4Q-Dec 14A</t>
  </si>
  <si>
    <t>3Q-Sep 14A</t>
  </si>
  <si>
    <t>1Q-Mar 15A</t>
  </si>
  <si>
    <t>2Q-Jun 15A</t>
  </si>
  <si>
    <t>3Q-Sep 15A</t>
  </si>
  <si>
    <t>4Q-Dec 15A</t>
  </si>
  <si>
    <t>1Q-Mar 16A</t>
  </si>
  <si>
    <t>2Q-Jun 16A</t>
  </si>
  <si>
    <t>3Q-Sep 16A</t>
  </si>
  <si>
    <t>4Q-Dec 16A</t>
  </si>
  <si>
    <t>1Q-Mar 17A</t>
  </si>
  <si>
    <t>March</t>
  </si>
  <si>
    <t>Revenues</t>
  </si>
  <si>
    <t>Long-Term Investments</t>
  </si>
  <si>
    <t>Goodwill</t>
  </si>
  <si>
    <t>Total Revenue</t>
  </si>
  <si>
    <t>Adjusted EBITDA Reconciliation</t>
  </si>
  <si>
    <t>Qualys</t>
  </si>
  <si>
    <t>QLYS</t>
  </si>
  <si>
    <t>Qualys, Inc. Quarterly Variance Analysis</t>
  </si>
  <si>
    <t>Source:  Qualys, Inc. Financial Statements, Needham &amp; Co. LLC estimates</t>
  </si>
  <si>
    <t xml:space="preserve">Qualys, Inc.—Quarterly Income Statement </t>
  </si>
  <si>
    <t>Source: Qualys, Inc. Financial Statements,Needham &amp; Co. LLC estimates</t>
  </si>
  <si>
    <t>Qualys, Inc.—Balance Sheet</t>
  </si>
  <si>
    <t>Qualys, Inc.—Cash Flow</t>
  </si>
  <si>
    <t>Qualys, Inc.—Geographic Segmentation</t>
  </si>
  <si>
    <t>Qualys, Inc.-Supplemental Financial Data</t>
  </si>
  <si>
    <t>2013A</t>
  </si>
  <si>
    <t>4Q-Dec 13A</t>
  </si>
  <si>
    <t>3Q-Sep 13A</t>
  </si>
  <si>
    <t>2Q-Jun 13A</t>
  </si>
  <si>
    <t>1Q-Mar 12A</t>
  </si>
  <si>
    <t>2Q-Jun 12A</t>
  </si>
  <si>
    <t>3Q-Sep 12A</t>
  </si>
  <si>
    <t>4Q-Dec 12A</t>
  </si>
  <si>
    <t>2012A</t>
  </si>
  <si>
    <t>1Q-Mar 13A</t>
  </si>
  <si>
    <t xml:space="preserve">     Gross Margin</t>
  </si>
  <si>
    <t>Other Noncurrent Assets</t>
  </si>
  <si>
    <t>Accrued Liabilities</t>
  </si>
  <si>
    <t>Deferred Revenues, Current</t>
  </si>
  <si>
    <t>United States</t>
  </si>
  <si>
    <t>Interest expense</t>
  </si>
  <si>
    <t>8800+</t>
  </si>
  <si>
    <t>9200+</t>
  </si>
  <si>
    <t>9300+</t>
  </si>
  <si>
    <t>7700+</t>
  </si>
  <si>
    <t>8000+</t>
  </si>
  <si>
    <t>6150+</t>
  </si>
  <si>
    <t>6700+</t>
  </si>
  <si>
    <t>2Q-Jun 17A</t>
  </si>
  <si>
    <t>This sheet contains FactSet XML data for use with this workbook's =FDS codes.  Modifying the worksheet's contents may damage the workbook's =FDS functionality.</t>
  </si>
  <si>
    <t>New Product % of Total Bookings</t>
  </si>
  <si>
    <t>Adjusted EBITDA Margins</t>
  </si>
  <si>
    <t>Normalized Revenue Growth</t>
  </si>
  <si>
    <t>Y/Y Revenue growth under US GAAP</t>
  </si>
  <si>
    <t>Enterprise Customers w/ 3+ Products- ARPC(LTM)</t>
  </si>
  <si>
    <t>% Enterprise Customers w/ 3+ Products</t>
  </si>
  <si>
    <t>Reconciliation of Revenue and Current Deferred Growth</t>
  </si>
  <si>
    <t>Current Deferred Revenue</t>
  </si>
  <si>
    <t>Y/Y Current Deferred Revenue Change as Reported Under U.S. GAAP</t>
  </si>
  <si>
    <t>Plus: Foreign Exchange Impact</t>
  </si>
  <si>
    <t>Normalized Current Deferred Revenue Growth</t>
  </si>
  <si>
    <t>EBITDA</t>
  </si>
  <si>
    <t>Net income (loss) - Non-GAAP</t>
  </si>
  <si>
    <t>Tax Adjustment</t>
  </si>
  <si>
    <t>Check</t>
  </si>
  <si>
    <t>Diluted Shares Outstanding</t>
  </si>
  <si>
    <t>% of Sales - Actual</t>
  </si>
  <si>
    <t>% of Sales - Input</t>
  </si>
  <si>
    <t>Interest income</t>
  </si>
  <si>
    <t>Other expense, net</t>
  </si>
  <si>
    <t>Input New Value</t>
  </si>
  <si>
    <t>Copy Prev. Q Formula</t>
  </si>
  <si>
    <t>Days Payable</t>
  </si>
  <si>
    <t xml:space="preserve">  Yr-Yr Growth (Deferred Revenue)</t>
  </si>
  <si>
    <t xml:space="preserve">  Yr-Yr Growth (Revenue)</t>
  </si>
  <si>
    <t xml:space="preserve">  Delta</t>
  </si>
  <si>
    <t>Cash from Operating Activities</t>
  </si>
  <si>
    <t>Free Cash Flow</t>
  </si>
  <si>
    <t>Free Cash Flow Margin</t>
  </si>
  <si>
    <t xml:space="preserve">  Q-Q Growth</t>
  </si>
  <si>
    <t>Enterprise Customers w/ 1 Product - ARPC(LTM)</t>
  </si>
  <si>
    <t>Enterprise Customers w/ 2 Products- ARPC(LTM)</t>
  </si>
  <si>
    <t>Customers w/ Avg Spend &gt; $100k</t>
  </si>
  <si>
    <t>Customer Retention (%) - Enterprise</t>
  </si>
  <si>
    <t>Customer Retention (%) - SME &amp; SMB</t>
  </si>
  <si>
    <t>Qualys, Inc.—Segmentation Breakdown</t>
  </si>
  <si>
    <t>5800+</t>
  </si>
  <si>
    <t>5700+</t>
  </si>
  <si>
    <t>Restricted Cash</t>
  </si>
  <si>
    <t>Income Taxes Payable, Noncurrent</t>
  </si>
  <si>
    <t>Adjusted EBITDA Margin</t>
  </si>
  <si>
    <t>Qualys, Inc.—Supplemental Data</t>
  </si>
  <si>
    <t>Year</t>
  </si>
  <si>
    <t>NM</t>
  </si>
  <si>
    <t>Cash and Equivalents at Beginning of Period</t>
  </si>
  <si>
    <t>Cash and Equivalents at End of Period</t>
  </si>
  <si>
    <t>OPEX</t>
  </si>
  <si>
    <t xml:space="preserve">  % COGS + OPEX</t>
  </si>
  <si>
    <t>COGS</t>
  </si>
  <si>
    <t>Drivers</t>
  </si>
  <si>
    <t>Accounts Receivable</t>
  </si>
  <si>
    <t xml:space="preserve">  % of Sales</t>
  </si>
  <si>
    <t>Beginning PP&amp;E</t>
  </si>
  <si>
    <t>CapEx</t>
  </si>
  <si>
    <t>CapEx (as a % of Sales)</t>
  </si>
  <si>
    <t>Acquisitions/(Write-offs)</t>
  </si>
  <si>
    <t>Ending PP&amp;E</t>
  </si>
  <si>
    <t>Beginning Intangibles</t>
  </si>
  <si>
    <t>Purchases of Intangibles</t>
  </si>
  <si>
    <t>Purchases of Intangibles (as a % of Sales)</t>
  </si>
  <si>
    <t>Amortization of Intangibles</t>
  </si>
  <si>
    <t>Amortization (as a % of Intangibles)</t>
  </si>
  <si>
    <t>Ending Intangbiles</t>
  </si>
  <si>
    <t xml:space="preserve">  % of COGS</t>
  </si>
  <si>
    <t>ST Deferred Revenue</t>
  </si>
  <si>
    <t>Growth Rate Input</t>
  </si>
  <si>
    <t>LT Deferred Revenue</t>
  </si>
  <si>
    <t>Depreciation and Amortization of PP&amp;E</t>
  </si>
  <si>
    <t>Depreciation and Amortization of PP&amp;E (as a % of PP&amp;E)</t>
  </si>
  <si>
    <t>I/S</t>
  </si>
  <si>
    <t>CFS</t>
  </si>
  <si>
    <t>Stock-Based Compensation Expense</t>
  </si>
  <si>
    <t>3Q-Sep 17A</t>
  </si>
  <si>
    <t>Operating Cash Flow</t>
  </si>
  <si>
    <t>+1</t>
  </si>
  <si>
    <t>+2</t>
  </si>
  <si>
    <t>+3</t>
  </si>
  <si>
    <t>+4</t>
  </si>
  <si>
    <t>+5</t>
  </si>
  <si>
    <t>+6</t>
  </si>
  <si>
    <t>+7</t>
  </si>
  <si>
    <t>4Q-Dec 17A</t>
  </si>
  <si>
    <t>0</t>
  </si>
  <si>
    <t>10300+</t>
  </si>
  <si>
    <t>% Enterprise Customers w/ 4+ Products</t>
  </si>
  <si>
    <t>Enterprise Customers w/ 4+ Products- ARPC(LTM)</t>
  </si>
  <si>
    <t>1Q-Mar 18A</t>
  </si>
  <si>
    <t>2018A</t>
  </si>
  <si>
    <t>Repurchase of Common Stock</t>
  </si>
  <si>
    <t>Cash from Operations</t>
  </si>
  <si>
    <t>Capital Expenditures</t>
  </si>
  <si>
    <t>Principal Payments Under Capital Lease Obligations</t>
  </si>
  <si>
    <t>Interest Expense</t>
  </si>
  <si>
    <t>Interest Income</t>
  </si>
  <si>
    <t>Other Expense, net</t>
  </si>
  <si>
    <t>(Thousands Of Dollars, Except Per-Share Data)</t>
  </si>
  <si>
    <t>Add: Deferred Revenue, End of Period</t>
  </si>
  <si>
    <t>Less: Deferred Revenue, Beginning of Period</t>
  </si>
  <si>
    <t>Plus: Impact of MSSP Contract Signed in Feb 2016</t>
  </si>
  <si>
    <t>Provision for Income Taxes - Non GAAP</t>
  </si>
  <si>
    <t>Provision for Income Taxes - GAAP</t>
  </si>
  <si>
    <t xml:space="preserve">  Effective Income Tax Rate - GAAP</t>
  </si>
  <si>
    <t>Depreciation and Amortization of Property and Equipment</t>
  </si>
  <si>
    <t>Amortization of Intangible Assets</t>
  </si>
  <si>
    <t>Depreciation and Amortization Expense</t>
  </si>
  <si>
    <t>(Benefit from) Provision for Income Taxes</t>
  </si>
  <si>
    <t>Other (Income) Expense, net</t>
  </si>
  <si>
    <t>Acquisition-Related Expense</t>
  </si>
  <si>
    <t>One-Time Tax Related Expense</t>
  </si>
  <si>
    <t>Net Income / Loss</t>
  </si>
  <si>
    <t>Bad Debt Expense</t>
  </si>
  <si>
    <t>Loss on Disposal of Property and Equipment</t>
  </si>
  <si>
    <t>Stock-Based Compensation</t>
  </si>
  <si>
    <t>Non-Cash Interest Expense</t>
  </si>
  <si>
    <t>Amortization of Premiums and Accretion of Discounts on Investments</t>
  </si>
  <si>
    <t>Excess Tax Benefits Included in Deferred Tax Assets</t>
  </si>
  <si>
    <t>Impairment of Intangible Assets</t>
  </si>
  <si>
    <t>Excess Tax Benefits from Stock-Based Compensation</t>
  </si>
  <si>
    <t>Prepaid Expenses and Other Assets</t>
  </si>
  <si>
    <t>Deferred Revenues</t>
  </si>
  <si>
    <t>Income Taxes Payable</t>
  </si>
  <si>
    <t>Other Noncurrent Liabilities</t>
  </si>
  <si>
    <t>Purchases of Investments</t>
  </si>
  <si>
    <t>Sales and Maturities of Investments</t>
  </si>
  <si>
    <t>Purchases of Property and Equipment</t>
  </si>
  <si>
    <t>Capitalized Software Development Costs</t>
  </si>
  <si>
    <t>Release of Restricted Cash</t>
  </si>
  <si>
    <t>Proceeds from Initial Public Offering, net of Offering Costs</t>
  </si>
  <si>
    <t>Proceeds from Exercise of Stock Options</t>
  </si>
  <si>
    <t>Proceeds from Early Exercise of Stock Options</t>
  </si>
  <si>
    <t>Proceeds from Issuance of Series C Preferred Stock</t>
  </si>
  <si>
    <t>Payments for Taxes Related to Net Share Settlement of Equity Awards</t>
  </si>
  <si>
    <t>Non-Contingent Payment Related to Acquisition</t>
  </si>
  <si>
    <t>Effect of Foreign Exchange Rates on Cash</t>
  </si>
  <si>
    <t>Net Income (Loss) - GAAP</t>
  </si>
  <si>
    <t>2Q-Jun 18A</t>
  </si>
  <si>
    <t>-1</t>
  </si>
  <si>
    <t>Number of Cloud Agents Sold(LTM) - Units in Millions</t>
  </si>
  <si>
    <t>Customers w/ Avg Spend &gt; $100k - Cumulative Revenues ($ in Millions)</t>
  </si>
  <si>
    <t>% Enterprise Customers w/ 5+ Products</t>
  </si>
  <si>
    <t>% Enterprise Customers w/ 2+ Products</t>
  </si>
  <si>
    <t>Average Deal Size (Yr-Yr Growth)</t>
  </si>
  <si>
    <t>Cloud Agent Penetration (%)</t>
  </si>
  <si>
    <t>Qualys, Inc.—Sales Channel Segmentation</t>
  </si>
  <si>
    <t>Direct</t>
  </si>
  <si>
    <t>Partner</t>
  </si>
  <si>
    <t>-2</t>
  </si>
  <si>
    <t>+8</t>
  </si>
  <si>
    <t>3Q-Sep 18A</t>
  </si>
  <si>
    <t>Average Deal Size - Enterprise Only (Yr-Yr Growth)</t>
  </si>
  <si>
    <t>Calculated Billings</t>
  </si>
  <si>
    <t>Total Calculated Billings</t>
  </si>
  <si>
    <t>-3</t>
  </si>
  <si>
    <t>Deferred Tax Assets, net</t>
  </si>
  <si>
    <t>Note: Current quarter figures are estimates based on %'s given on the call until filings are released</t>
  </si>
  <si>
    <t>4Q-Dec 18A</t>
  </si>
  <si>
    <t>x</t>
  </si>
  <si>
    <t>Add: Current Deferred Revenue, End of Period</t>
  </si>
  <si>
    <t>Less: Current Deferred Revenue, Beginning of Period</t>
  </si>
  <si>
    <t>Total Current Calculated Billings</t>
  </si>
  <si>
    <t>12200+</t>
  </si>
  <si>
    <t>% Bookings Growth - New</t>
  </si>
  <si>
    <t>% Bookings Growth - Existing</t>
  </si>
  <si>
    <t>Customers w/ Annual Rev. &gt; $500k - Cumulative Revenues ($ in Millions)</t>
  </si>
  <si>
    <t>Customers w/ Annual Rev. &gt; $500k</t>
  </si>
  <si>
    <t>Enterprise Customers w/ 5+ Products- ARPC(LTM)</t>
  </si>
  <si>
    <t>Enterprise Gross Dollar Retention Rate - 4 Products (LTM)</t>
  </si>
  <si>
    <t>Enterprise Gross Dollar Retention Rate - 3 Products (LTM)</t>
  </si>
  <si>
    <t>Enterprise Gross Dollar Retention Rate - 2 Products (LTM)</t>
  </si>
  <si>
    <t>-4</t>
  </si>
  <si>
    <t>1Q-Mar 19A</t>
  </si>
  <si>
    <t>2019A</t>
  </si>
  <si>
    <t>2Q-Jun 19A</t>
  </si>
  <si>
    <t>`</t>
  </si>
  <si>
    <t>Low Band</t>
  </si>
  <si>
    <t>High Band</t>
  </si>
  <si>
    <t>Midpoint</t>
  </si>
  <si>
    <t>Revs</t>
  </si>
  <si>
    <t>Guidance</t>
  </si>
  <si>
    <t>Quarter</t>
  </si>
  <si>
    <t>Old Year</t>
  </si>
  <si>
    <t>New Year</t>
  </si>
  <si>
    <t>$∆</t>
  </si>
  <si>
    <t>%∆</t>
  </si>
  <si>
    <t>3Q-Sep 19A</t>
  </si>
  <si>
    <t>VM Solutions Revenue</t>
  </si>
  <si>
    <t>Other Security Revenue</t>
  </si>
  <si>
    <t>Net Cash from Operating Activity</t>
  </si>
  <si>
    <t>Net Cash from Investing Activity</t>
  </si>
  <si>
    <t>Net Cash from Financing Activity</t>
  </si>
  <si>
    <t>Net Increase (Decrease) in Cash &amp; Equivalents</t>
  </si>
  <si>
    <t>Operating Lease ROU Asset</t>
  </si>
  <si>
    <t>Operating Lease Liabiliy, Current</t>
  </si>
  <si>
    <t>Operating Lease Liabiliy, Noncurrent</t>
  </si>
  <si>
    <t>Current Billings</t>
  </si>
  <si>
    <t>Calculated Current Billings</t>
  </si>
  <si>
    <t>Enterprise Customers w/ 5 Solutions</t>
  </si>
  <si>
    <t>Enterprise Customers w/ 4 Solutions</t>
  </si>
  <si>
    <t>Enterprise Customers w/ 3 Solutions</t>
  </si>
  <si>
    <t>Enterprise Customers w/ 2 Solutions</t>
  </si>
  <si>
    <t>Enterprise Customers w/ 1 Solutions</t>
  </si>
  <si>
    <t>5 Solution Retention (Estimate)</t>
  </si>
  <si>
    <t>1 Solution Retention (Estimate)</t>
  </si>
  <si>
    <t>Blended Enterprise Gross Retention Rate</t>
  </si>
  <si>
    <t>4Q-Dec 19A</t>
  </si>
  <si>
    <t>Intangible Asset Amortization</t>
  </si>
  <si>
    <t>Acquisition Related Expense</t>
  </si>
  <si>
    <t>Enterprise Gross Dollar Retention Rate - 5 Products (LTM)</t>
  </si>
  <si>
    <t>1Q-Mar 20A</t>
  </si>
  <si>
    <t>2020A</t>
  </si>
  <si>
    <t>2Q-Jun 20A</t>
  </si>
  <si>
    <t>3Q-Sep 20A</t>
  </si>
  <si>
    <t xml:space="preserve">no longer </t>
  </si>
  <si>
    <t>reporting</t>
  </si>
  <si>
    <t>Retention or</t>
  </si>
  <si>
    <t>product count</t>
  </si>
  <si>
    <t>Only Provided in 10-Q/K</t>
  </si>
  <si>
    <t>4Q-Dec 20A</t>
  </si>
  <si>
    <t>Net Cash</t>
  </si>
  <si>
    <t>Net Cash Per Share</t>
  </si>
  <si>
    <t>Purchases of Intangible Assets &amp; Other</t>
  </si>
  <si>
    <t>1Q-Mar 21A</t>
  </si>
  <si>
    <t>2021A</t>
  </si>
  <si>
    <t>2Q-Jun 21A</t>
  </si>
  <si>
    <t>Acquisition of Business, Net</t>
  </si>
  <si>
    <t>Source: Qualys, Inc. Financial Statements, Needham &amp; Co. LLC estimates</t>
  </si>
  <si>
    <t>Other Expense, Net</t>
  </si>
  <si>
    <t>Not reported</t>
  </si>
  <si>
    <t>3Q-Sep 21A</t>
  </si>
  <si>
    <t>4Q-Dec 21A</t>
  </si>
  <si>
    <t>1Q-Mar 22A</t>
  </si>
  <si>
    <t>2022A</t>
  </si>
  <si>
    <t>2Q-Jun 22A</t>
  </si>
  <si>
    <t>Customers</t>
  </si>
  <si>
    <t>3Q-Sep 22A</t>
  </si>
  <si>
    <t>Note: Exact % figures are not available until QLYS files form 10-K/Q</t>
  </si>
  <si>
    <t>VMDR Penetration</t>
  </si>
  <si>
    <t>NA</t>
  </si>
  <si>
    <t>4Q-Dec 22A</t>
  </si>
  <si>
    <t>International</t>
  </si>
  <si>
    <t>Interest and Other Income, net</t>
  </si>
  <si>
    <t>Cost of Goods Sold (Non GAAP)</t>
  </si>
  <si>
    <t>2025E</t>
  </si>
  <si>
    <t>4Q-Dec 25E</t>
  </si>
  <si>
    <t>1Q-Mar 23A</t>
  </si>
  <si>
    <t>2023A</t>
  </si>
  <si>
    <t>RPO</t>
  </si>
  <si>
    <t>CRPO</t>
  </si>
  <si>
    <t>RPO 25-36 months+</t>
  </si>
  <si>
    <t>RPO 13-24 months</t>
  </si>
  <si>
    <t>CRPO / RPO</t>
  </si>
  <si>
    <t>Revenue Coverage</t>
  </si>
  <si>
    <t>Y/Y % Growth</t>
  </si>
  <si>
    <t>24-36mo RPO+</t>
  </si>
  <si>
    <t>Beginning RPO</t>
  </si>
  <si>
    <t>(--) Current Period Revenue</t>
  </si>
  <si>
    <t>(+) Current Period Bookings</t>
  </si>
  <si>
    <t>(=) Ending RPO</t>
  </si>
  <si>
    <t>% Y/Y Bookings Growth</t>
  </si>
  <si>
    <t>% Q/Q Bookings Growth</t>
  </si>
  <si>
    <t>Billings</t>
  </si>
  <si>
    <t>B:B</t>
  </si>
  <si>
    <t>(+)  Current RPO</t>
  </si>
  <si>
    <t>Current RPO Bookings</t>
  </si>
  <si>
    <t>% Y/Y CRPO Bookings Growth</t>
  </si>
  <si>
    <t>Q-Q CRPO Bookings Growth</t>
  </si>
  <si>
    <t>Original Revenue Guidance</t>
  </si>
  <si>
    <t>2Q-Jun 23A</t>
  </si>
  <si>
    <t>TTM Current Calculated Billings</t>
  </si>
  <si>
    <t>3Q-Sep 23A</t>
  </si>
  <si>
    <t>4Q-Dec 23A</t>
  </si>
  <si>
    <t>TTM CRPO Bookings Growth</t>
  </si>
  <si>
    <t>Direct Yr-Yr Growth</t>
  </si>
  <si>
    <t>Channel</t>
  </si>
  <si>
    <t>Channel Yr-Yr Growth</t>
  </si>
  <si>
    <t>1Q-Mar 24A</t>
  </si>
  <si>
    <t>2024A</t>
  </si>
  <si>
    <t>Q/Q % Growth</t>
  </si>
  <si>
    <t>2026E</t>
  </si>
  <si>
    <t>1Q-Mar 26E</t>
  </si>
  <si>
    <t>2Q-Jun 26E</t>
  </si>
  <si>
    <t>3Q-Sep 26E</t>
  </si>
  <si>
    <t>4Q-Dec 26E</t>
  </si>
  <si>
    <t>Rule of 40</t>
  </si>
  <si>
    <t>2Q-Jun 24A</t>
  </si>
  <si>
    <t>Dollar Based Net Retention</t>
  </si>
  <si>
    <t>Gross Retention</t>
  </si>
  <si>
    <t>Qualys, Inc. - Retention Data</t>
  </si>
  <si>
    <t>3Q-Sep 24A</t>
  </si>
  <si>
    <t>Total Deferred Revenue</t>
  </si>
  <si>
    <t>Source:  Qualys, Inc. Financial Statements, FactSet Estimates</t>
  </si>
  <si>
    <t>Customers &gt;$500K ARR</t>
  </si>
  <si>
    <t>VM</t>
  </si>
  <si>
    <t>Patch Management and Cyber Asset Management</t>
  </si>
  <si>
    <t>Cloud</t>
  </si>
  <si>
    <t xml:space="preserve">  % of LTM Bookings</t>
  </si>
  <si>
    <t>LTM RPO Bookings</t>
  </si>
  <si>
    <t>LTM Bookings by Product</t>
  </si>
  <si>
    <t>Convertible Debt</t>
  </si>
  <si>
    <t>TTM Bookings Growth</t>
  </si>
  <si>
    <t>New RPO</t>
  </si>
  <si>
    <t>New CRPO</t>
  </si>
  <si>
    <t>New RPO 13-24 months</t>
  </si>
  <si>
    <t>New RPO 25-36 months+</t>
  </si>
  <si>
    <t>NH-Ests.</t>
  </si>
  <si>
    <t>Street Estimate</t>
  </si>
  <si>
    <t>4Q-Dec 24A</t>
  </si>
  <si>
    <t>1Q-Mar 25A</t>
  </si>
  <si>
    <t>2025A</t>
  </si>
  <si>
    <t>Implied GM</t>
  </si>
  <si>
    <t>Implied Net Income</t>
  </si>
  <si>
    <t>Implied Pretax Income</t>
  </si>
  <si>
    <t>Tax Rate Check</t>
  </si>
  <si>
    <t>Estimated Operating Income</t>
  </si>
  <si>
    <t>Estimated OpEx</t>
  </si>
  <si>
    <t>EBITDA Margin</t>
  </si>
  <si>
    <t>FCF Variance vs EBITDA</t>
  </si>
  <si>
    <t>Variance vs FCF</t>
  </si>
  <si>
    <t>% of Revenue</t>
  </si>
  <si>
    <t>Qtr-Qtr Growth</t>
  </si>
  <si>
    <t>Yr-Yr Growth</t>
  </si>
  <si>
    <t>2027E</t>
  </si>
  <si>
    <t>1Q-Mar 27E</t>
  </si>
  <si>
    <t>2Q-Jun 27E</t>
  </si>
  <si>
    <t>3Q-Sep 27E</t>
  </si>
  <si>
    <t>4Q-Dec 27E</t>
  </si>
  <si>
    <t>Rev</t>
  </si>
  <si>
    <t>2QCY24</t>
  </si>
  <si>
    <t>1QCY25</t>
  </si>
  <si>
    <t>High-End</t>
  </si>
  <si>
    <t>Upside$</t>
  </si>
  <si>
    <t>Upside %</t>
  </si>
  <si>
    <t>1QCY23</t>
  </si>
  <si>
    <t>Outperformance $</t>
  </si>
  <si>
    <t>2QCY23</t>
  </si>
  <si>
    <t>Outperformance %</t>
  </si>
  <si>
    <t>3QCY23</t>
  </si>
  <si>
    <t>4QCY23</t>
  </si>
  <si>
    <t>TTM Average Outperformance $</t>
  </si>
  <si>
    <t>1QCY24</t>
  </si>
  <si>
    <t>TTM Average Outperformance %</t>
  </si>
  <si>
    <t>3QCY24</t>
  </si>
  <si>
    <t>4QCY24</t>
  </si>
  <si>
    <t>Qualys - Revenue &amp; EPS Versus High-End of Guide</t>
  </si>
  <si>
    <t>$ in Millions, except per-share data</t>
  </si>
  <si>
    <t>2Q-Jun 25A</t>
  </si>
  <si>
    <t>2QCY25</t>
  </si>
  <si>
    <t>3Q-Sep 25A</t>
  </si>
  <si>
    <t>4QCY25E</t>
  </si>
  <si>
    <t>3QCY25</t>
  </si>
  <si>
    <t>$172.0 - $174.0</t>
  </si>
  <si>
    <t>8.0% - 9.3%</t>
  </si>
  <si>
    <t>$1.73 - $1.80</t>
  </si>
  <si>
    <t>7.8% - 12.2%</t>
  </si>
  <si>
    <t>Guide: $172.0-$174.0M</t>
  </si>
  <si>
    <t>Guide: $1.73-$1.80</t>
  </si>
  <si>
    <t>4Q-Dec 25A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</si>
</sst>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_(* #,##0.0_);_(* \(#,##0.0\);_(* &quot;-&quot;??_);_(@_)"/>
    <numFmt numFmtId="166" formatCode="0.0"/>
    <numFmt numFmtId="167" formatCode="0.0%"/>
    <numFmt numFmtId="168" formatCode="_(&quot;$&quot;#,##0_)&quot;millions&quot;;\(&quot;$&quot;#,##0\)&quot; millions&quot;"/>
    <numFmt numFmtId="169" formatCode="0.0%_);\(0.0%\)"/>
    <numFmt numFmtId="170" formatCode="\£#,##0_);\(\£#,##0\)"/>
    <numFmt numFmtId="171" formatCode="#,##0\ ;\(#,##0.0\)"/>
    <numFmt numFmtId="172" formatCode="#,##0_%_);\(#,##0\)_%;#,##0_%_);@_%_)"/>
    <numFmt numFmtId="173" formatCode="#,##0_%_);\(#,##0\)_%;**;@_%_)"/>
    <numFmt numFmtId="174" formatCode="&quot;$&quot;0.00_)"/>
    <numFmt numFmtId="175" formatCode="&quot;$&quot;#,##0_%_);\(&quot;$&quot;#,##0\)_%;&quot;$&quot;#,##0_%_);@_%_)"/>
    <numFmt numFmtId="176" formatCode="&quot;$&quot;#,##0.00_%_);\(&quot;$&quot;#,##0.00\)_%;&quot;$&quot;#,##0.00_%_);@_%_)"/>
    <numFmt numFmtId="177" formatCode="&quot;$&quot;#,##0\ ;\(&quot;$&quot;#,##0\)"/>
    <numFmt numFmtId="178" formatCode="@\ \ \ \ \ "/>
    <numFmt numFmtId="179" formatCode="m/d/yy_%_)"/>
    <numFmt numFmtId="180" formatCode="#,##0.0"/>
    <numFmt numFmtId="181" formatCode="0_%_);\(0\)_%;0_%_);@_%_)"/>
    <numFmt numFmtId="182" formatCode="#,##0.00_)\ \ \ \ \ ;\(#,##0.00\)\ \ \ \ \ "/>
    <numFmt numFmtId="183" formatCode="&quot;$&quot;#,##0.00_)\ \ \ \ \ ;\(&quot;$&quot;#,##0.00\)\ \ \ \ \ "/>
    <numFmt numFmtId="184" formatCode="&quot;$&quot;#,##0.00\A\ \ \ \ ;\(&quot;$&quot;#,##0.00\A\)\ \ \ \ "/>
    <numFmt numFmtId="185" formatCode="&quot;$&quot;#,##0.00&quot;E&quot;\ \ \ \ ;\(&quot;$&quot;#,##0.00&quot;E&quot;\)\ \ \ \ "/>
    <numFmt numFmtId="186" formatCode="#,##0.00\A\ \ \ \ ;\(#,##0.00\A\)\ \ \ \ "/>
    <numFmt numFmtId="187" formatCode="#,##0.00&quot;E&quot;\ \ \ \ ;\(#,##0.00&quot;E&quot;\)\ \ \ \ "/>
    <numFmt numFmtId="188" formatCode="&quot;$&quot;#,##0;[Red]&quot;$&quot;#,##0"/>
    <numFmt numFmtId="189" formatCode="0%\ \ \ \ \ \ \ "/>
    <numFmt numFmtId="190" formatCode="0.0\%_);\(0.0\%\);0.0\%_);@_%_)"/>
    <numFmt numFmtId="191" formatCode="_(&quot;$&quot;\ #,##0.0_);_(&quot;$&quot;\(#,##0.0\);_(\ &quot;-&quot;??_);_(@_)"/>
    <numFmt numFmtId="192" formatCode="_(&quot;$&quot;* #,##0_)\ &quot;millions&quot;;_(&quot;$&quot;* \(#,##0\)&quot; millions&quot;"/>
    <numFmt numFmtId="193" formatCode="&quot;$&quot;#,##0&quot; MM&quot;;\(&quot;$&quot;#,##0.00&quot; MM&quot;\)"/>
    <numFmt numFmtId="194" formatCode="@&quot; MM&quot;"/>
    <numFmt numFmtId="195" formatCode="0.0\x_)_);&quot;NM&quot;_x_)_);0.0\x_)_);@_%_)"/>
    <numFmt numFmtId="196" formatCode="#,##0.0\ ;\(#,##0.0\)"/>
    <numFmt numFmtId="197" formatCode="0.00_)"/>
    <numFmt numFmtId="198" formatCode="[$$-409]#,##0.0000;\([$$-409]#,##0.0000\)"/>
    <numFmt numFmtId="199" formatCode="General_)"/>
    <numFmt numFmtId="200" formatCode="#,##0.0\ \ \ ;\(#,##0.0\)\ \ "/>
    <numFmt numFmtId="201" formatCode="#,##0___);\(#,##0.00\)"/>
    <numFmt numFmtId="202" formatCode="0.0\ \ \ \ \ \ "/>
    <numFmt numFmtId="203" formatCode="0.0%\ \ \ \ \ "/>
    <numFmt numFmtId="204" formatCode="#,##0&quot;%&quot;"/>
    <numFmt numFmtId="205" formatCode="&quot;$&quot;#\-?/?"/>
    <numFmt numFmtId="206" formatCode="0.00\ \ \ \ "/>
    <numFmt numFmtId="207" formatCode="&quot;$&quot;@"/>
    <numFmt numFmtId="208" formatCode="0.0000"/>
    <numFmt numFmtId="209" formatCode="0\ \ ;\(0\)\ \ \ "/>
    <numFmt numFmtId="210" formatCode="\¥#,##0_);\(\¥#,##0\)"/>
    <numFmt numFmtId="211" formatCode="_(* #,##0_);_(* \(#,##0\);_(* &quot;-&quot;??_);_(@_)"/>
    <numFmt numFmtId="212" formatCode="&quot;$&quot;#,##0.0_);\(&quot;$&quot;#,##0.0\)"/>
    <numFmt numFmtId="213" formatCode="0_)"/>
    <numFmt numFmtId="214" formatCode="[$-409]mmm\-yy;@"/>
    <numFmt numFmtId="215" formatCode="&quot;$&quot;#,##0.00"/>
    <numFmt numFmtId="216" formatCode="[$-409]mmmmm;@"/>
    <numFmt numFmtId="217" formatCode="0.0_)"/>
    <numFmt numFmtId="218" formatCode="_(* #,##0_);[Red]_(* \(#,##0\);_(* &quot;-&quot;_);_(@_)"/>
    <numFmt numFmtId="219" formatCode="_ * #,##0.00_ ;_ * \-#,##0.00_ ;_ * &quot;-&quot;??_ ;_ @_ "/>
    <numFmt numFmtId="220" formatCode="0%;\(0%\)"/>
    <numFmt numFmtId="221" formatCode="_(&quot;$&quot;* #,##0.0_);_(&quot;$&quot;* \(#,##0.0\);_(&quot;$&quot;* &quot;-&quot;_);_(@_)"/>
    <numFmt numFmtId="222" formatCode="&quot;R&quot;\ #,##0;&quot;R&quot;\ \-#,##0"/>
    <numFmt numFmtId="223" formatCode="_(* #,##0.0_);[Red]_(* \(#,##0.0\);_(* &quot;-&quot;_);_(@_)"/>
    <numFmt numFmtId="224" formatCode="_(* #,##0.00_);[Red]_(* \(#,##0.00\);_(* &quot;-&quot;_);_(@_)"/>
    <numFmt numFmtId="225" formatCode="_(* #,##0,_);[Red]_(* \(#,##0,\);_(* &quot;-&quot;_);_(@_)"/>
    <numFmt numFmtId="226" formatCode="_(* #,##0.0,_);[Red]_(* \(#,##0.0,\);_(* &quot;-&quot;_);_(@_)"/>
    <numFmt numFmtId="227" formatCode="_(* #,##0,,_);[Red]_(* \(#,##0,,\);_(* &quot;-&quot;_);_(@_)"/>
    <numFmt numFmtId="228" formatCode="_(* #,##0.0,,_);[Red]_(* \(#,##0.0,,\);_(* &quot;-&quot;_);_(@_)"/>
    <numFmt numFmtId="229" formatCode="_(&quot;$&quot;#,##0_);[Red]_(\(&quot;$&quot;#,##0\);_(&quot;- &quot;?_);_(@_)"/>
    <numFmt numFmtId="230" formatCode="_(&quot;$&quot;#,##0.0_);[Red]_(\(&quot;$&quot;#,##0.0\);_(&quot;- &quot;?_);_(@_)"/>
    <numFmt numFmtId="231" formatCode="_(&quot;$&quot;#,##0.00_);[Red]_(\(&quot;$&quot;#,##0.00\);_(&quot;- &quot;?_);_(@_)"/>
    <numFmt numFmtId="232" formatCode="_(&quot;$&quot;#,##0,_);[Red]_(\(&quot;$&quot;#,##0,\);_(&quot;- &quot;?_);_(@_)"/>
    <numFmt numFmtId="233" formatCode="_(&quot;$&quot;#,##0.0,_);[Red]_(\(&quot;$&quot;#,##0.0,\);_(&quot;- &quot;?_);_(@_)"/>
    <numFmt numFmtId="234" formatCode="_(&quot;$&quot;#,##0,,_);[Red]_(\(&quot;$&quot;#,##0,,\);_(&quot;- &quot;?_);_(@_)"/>
    <numFmt numFmtId="235" formatCode="_(&quot;$&quot;#,##0.0,,_);[Red]_(\(&quot;$&quot;#,##0.0,,\);_(&quot;- &quot;?_);_(@_)"/>
    <numFmt numFmtId="236" formatCode="_(* #,###.0_);_(* \(#,###.0\);_(* &quot;-&quot;?_);_(@_)"/>
    <numFmt numFmtId="237" formatCode="_-* #,##0\ _D_M_-;\-* #,##0\ _D_M_-;_-* &quot;-&quot;\ _D_M_-;_-@_-"/>
    <numFmt numFmtId="238" formatCode="_-* #,##0.00\ _D_M_-;\-* #,##0.00\ _D_M_-;_-* &quot;-&quot;??\ _D_M_-;_-@_-"/>
    <numFmt numFmtId="239" formatCode="_([$€-2]* #,##0.00_);_([$€-2]* \(#,##0.00\);_([$€-2]* &quot;-&quot;??_)"/>
    <numFmt numFmtId="240" formatCode="#,##0.00&quot; $&quot;;\-#,##0.00&quot; $&quot;"/>
    <numFmt numFmtId="241" formatCode="_-* #,##0\ _F_-;\-* #,##0\ _F_-;_-* &quot;-&quot;\ _F_-;_-@_-"/>
    <numFmt numFmtId="242" formatCode="_-* #,##0.00\ _F_-;\-* #,##0.00\ _F_-;_-* &quot;-&quot;??\ _F_-;_-@_-"/>
    <numFmt numFmtId="243" formatCode="_-* #,##0\ &quot;F&quot;_-;\-* #,##0\ &quot;F&quot;_-;_-* &quot;-&quot;\ &quot;F&quot;_-;_-@_-"/>
    <numFmt numFmtId="244" formatCode="_-* #,##0.00\ &quot;F&quot;_-;\-* #,##0.00\ &quot;F&quot;_-;_-* &quot;-&quot;??\ &quot;F&quot;_-;_-@_-"/>
    <numFmt numFmtId="245" formatCode="#,###.0_);[Red]\(#,###.0\)"/>
    <numFmt numFmtId="246" formatCode="0_);[Red]\(0\)"/>
    <numFmt numFmtId="247" formatCode="0.0_);[Red]\(0.0\)"/>
    <numFmt numFmtId="248" formatCode="0.00_);[Red]\(0.00\)"/>
    <numFmt numFmtId="249" formatCode="0.0%\ ;[Red]\(0.0%\);_(&quot;-&quot;?_)"/>
    <numFmt numFmtId="250" formatCode="0.00%\ ;[Red]\(0.00%\);_(&quot;-&quot;?_)"/>
    <numFmt numFmtId="251" formatCode="0.000%\ ;[Red]\(0.000%\);_(&quot;-&quot;?_)"/>
    <numFmt numFmtId="252" formatCode="_-* #,##0.0_-;\-* #,##0.0_-;_-* &quot;-&quot;??_-;_-@_-"/>
    <numFmt numFmtId="253" formatCode=".0%_);[Red]\(.0%\)"/>
    <numFmt numFmtId="254" formatCode="&quot;kr&quot;\ #,##0.00;[Red]&quot;kr&quot;\ \-#,##0.00"/>
    <numFmt numFmtId="255" formatCode="mm/dd/yy"/>
    <numFmt numFmtId="256" formatCode="[$$-409]#,##0"/>
    <numFmt numFmtId="257" formatCode="_-* #,##0\ &quot;DM&quot;_-;\-* #,##0\ &quot;DM&quot;_-;_-* &quot;-&quot;\ &quot;DM&quot;_-;_-@_-"/>
    <numFmt numFmtId="258" formatCode="_-* #,##0.00\ &quot;DM&quot;_-;\-* #,##0.00\ &quot;DM&quot;_-;_-* &quot;-&quot;??\ &quot;DM&quot;_-;_-@_-"/>
    <numFmt numFmtId="259" formatCode="_([$$-409]* #,##0_);_([$$-409]* \(#,##0\);_([$$-409]* &quot;-&quot;??_);_(@_)"/>
    <numFmt numFmtId="260" formatCode="#,##0.000_);\(#,##0.000\)"/>
    <numFmt numFmtId="261" formatCode="0.0%_);\(0.0%\);0.0%_);@_)"/>
    <numFmt numFmtId="262" formatCode="&quot;$&quot;#,##0.000_);\(&quot;$&quot;#,##0.000\)"/>
    <numFmt numFmtId="263" formatCode="&quot;$&quot;#,##0.0_);[Red]\(&quot;$&quot;#,##0.0\)"/>
  </numFmts>
  <fonts count="19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9"/>
      <name val="Helvetica"/>
      <family val="2"/>
    </font>
    <font>
      <b/>
      <sz val="9"/>
      <name val="Helvetica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color indexed="81"/>
      <name val="Tahoma"/>
      <family val="2"/>
    </font>
    <font>
      <sz val="10"/>
      <name val="GillSans"/>
      <family val="2"/>
    </font>
    <font>
      <sz val="8"/>
      <color indexed="4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Arial"/>
      <family val="2"/>
    </font>
    <font>
      <sz val="11"/>
      <color indexed="20"/>
      <name val="Calibri"/>
      <family val="2"/>
    </font>
    <font>
      <b/>
      <sz val="12"/>
      <name val="Times"/>
      <family val="1"/>
    </font>
    <font>
      <b/>
      <i/>
      <sz val="12"/>
      <name val="Times"/>
      <family val="1"/>
    </font>
    <font>
      <u val="singleAccounting"/>
      <sz val="10"/>
      <name val="Arial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b/>
      <sz val="7"/>
      <name val="GillSans"/>
      <family val="2"/>
    </font>
    <font>
      <sz val="10"/>
      <name val="Helv"/>
    </font>
    <font>
      <sz val="8"/>
      <name val="Palatino"/>
      <family val="1"/>
    </font>
    <font>
      <sz val="10"/>
      <name val="Times New Roman"/>
      <family val="1"/>
    </font>
    <font>
      <sz val="10"/>
      <color indexed="12"/>
      <name val="Helv"/>
    </font>
    <font>
      <sz val="10"/>
      <name val="MS Sans Serif"/>
      <family val="2"/>
    </font>
    <font>
      <b/>
      <sz val="8"/>
      <name val="Times New Roman"/>
      <family val="1"/>
    </font>
    <font>
      <sz val="8"/>
      <name val="Times New Roman"/>
      <family val="1"/>
    </font>
    <font>
      <u val="doubleAccounting"/>
      <sz val="10"/>
      <name val="Arial"/>
      <family val="2"/>
    </font>
    <font>
      <i/>
      <sz val="11"/>
      <color indexed="23"/>
      <name val="Calibri"/>
      <family val="2"/>
    </font>
    <font>
      <sz val="7"/>
      <name val="Palatino"/>
      <family val="1"/>
    </font>
    <font>
      <sz val="11"/>
      <color indexed="17"/>
      <name val="Calibri"/>
      <family val="2"/>
    </font>
    <font>
      <sz val="6"/>
      <color indexed="16"/>
      <name val="Palatino"/>
      <family val="1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0"/>
      <name val="Courier"/>
      <family val="3"/>
    </font>
    <font>
      <u/>
      <sz val="10"/>
      <color indexed="12"/>
      <name val="Arial"/>
      <family val="2"/>
    </font>
    <font>
      <u/>
      <sz val="8.5"/>
      <color indexed="12"/>
      <name val="Arial"/>
      <family val="2"/>
    </font>
    <font>
      <u/>
      <sz val="11"/>
      <color indexed="1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8"/>
      <color indexed="18"/>
      <name val="Times New Roman"/>
      <family val="1"/>
    </font>
    <font>
      <sz val="8"/>
      <name val="Helv"/>
    </font>
    <font>
      <sz val="11"/>
      <color indexed="19"/>
      <name val="Calibri"/>
      <family val="2"/>
    </font>
    <font>
      <b/>
      <i/>
      <sz val="16"/>
      <name val="Helv"/>
    </font>
    <font>
      <sz val="8"/>
      <name val="Helvetica"/>
      <family val="2"/>
    </font>
    <font>
      <sz val="10"/>
      <name val="Palatino"/>
      <family val="1"/>
    </font>
    <font>
      <b/>
      <sz val="11"/>
      <color indexed="63"/>
      <name val="Calibri"/>
      <family val="2"/>
    </font>
    <font>
      <sz val="10"/>
      <color indexed="16"/>
      <name val="Helvetica-Black"/>
    </font>
    <font>
      <sz val="10"/>
      <name val="CG Times"/>
      <family val="1"/>
    </font>
    <font>
      <b/>
      <sz val="10"/>
      <name val="MS Sans Serif"/>
      <family val="2"/>
    </font>
    <font>
      <u/>
      <sz val="10"/>
      <name val="GillSans"/>
      <family val="2"/>
    </font>
    <font>
      <sz val="10"/>
      <color indexed="12"/>
      <name val="MS Sans Serif"/>
      <family val="2"/>
    </font>
    <font>
      <sz val="10"/>
      <name val="GillSans Light"/>
      <family val="2"/>
    </font>
    <font>
      <sz val="9.5"/>
      <color indexed="23"/>
      <name val="Helvetica-Black"/>
    </font>
    <font>
      <sz val="10"/>
      <name val="Times"/>
      <family val="1"/>
    </font>
    <font>
      <sz val="10"/>
      <name val="Helv"/>
      <family val="2"/>
    </font>
    <font>
      <b/>
      <sz val="14"/>
      <color indexed="9"/>
      <name val="Arial"/>
      <family val="2"/>
    </font>
    <font>
      <b/>
      <sz val="14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i/>
      <sz val="8"/>
      <color indexed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indexed="12"/>
      <name val="MS Sans Serif"/>
      <family val="2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sz val="9"/>
      <name val="Helvetica-Black"/>
    </font>
    <font>
      <b/>
      <sz val="10"/>
      <name val="Times New Roman"/>
      <family val="1"/>
    </font>
    <font>
      <sz val="8"/>
      <name val="Helvetica-Narrow"/>
      <family val="2"/>
    </font>
    <font>
      <b/>
      <sz val="7"/>
      <name val="Helvetica-Narrow"/>
      <family val="2"/>
    </font>
    <font>
      <b/>
      <sz val="12"/>
      <name val="GillSans"/>
      <family val="2"/>
    </font>
    <font>
      <sz val="12"/>
      <color indexed="8"/>
      <name val="Palatino"/>
      <family val="1"/>
    </font>
    <font>
      <sz val="11"/>
      <color indexed="8"/>
      <name val="Helvetica-Black"/>
    </font>
    <font>
      <sz val="12"/>
      <name val="Times New Roman"/>
      <family val="1"/>
    </font>
    <font>
      <b/>
      <sz val="18"/>
      <color indexed="62"/>
      <name val="Cambria"/>
      <family val="2"/>
    </font>
    <font>
      <b/>
      <sz val="11"/>
      <name val="GillSans"/>
      <family val="2"/>
    </font>
    <font>
      <u/>
      <sz val="11"/>
      <name val="GillSans"/>
      <family val="2"/>
    </font>
    <font>
      <b/>
      <sz val="11"/>
      <color indexed="8"/>
      <name val="Calibri"/>
      <family val="2"/>
    </font>
    <font>
      <u/>
      <sz val="8"/>
      <color indexed="8"/>
      <name val="Arial"/>
      <family val="2"/>
    </font>
    <font>
      <b/>
      <i/>
      <sz val="8"/>
      <name val="Helv"/>
    </font>
    <font>
      <sz val="11"/>
      <name val="Times New Roman"/>
      <family val="1"/>
    </font>
    <font>
      <i/>
      <sz val="12"/>
      <name val="Arial"/>
      <family val="2"/>
    </font>
    <font>
      <sz val="9"/>
      <color indexed="8"/>
      <name val="Helvetica"/>
      <family val="2"/>
    </font>
    <font>
      <sz val="8"/>
      <name val="Calibri"/>
      <family val="2"/>
    </font>
    <font>
      <u/>
      <sz val="16"/>
      <color indexed="12"/>
      <name val="Calibri"/>
      <family val="2"/>
    </font>
    <font>
      <sz val="10"/>
      <color indexed="18"/>
      <name val="Arial"/>
      <family val="2"/>
    </font>
    <font>
      <sz val="12"/>
      <name val="Helv"/>
    </font>
    <font>
      <sz val="10"/>
      <color indexed="9"/>
      <name val="Arial"/>
      <family val="2"/>
    </font>
    <font>
      <sz val="12"/>
      <color indexed="9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2"/>
      <color indexed="10"/>
      <name val="Arial"/>
      <family val="2"/>
    </font>
    <font>
      <b/>
      <sz val="11"/>
      <name val="Helvetica-Black"/>
    </font>
    <font>
      <sz val="10"/>
      <name val="Helvetica"/>
      <family val="2"/>
    </font>
    <font>
      <sz val="9"/>
      <name val="Helvetica 45"/>
    </font>
    <font>
      <b/>
      <i/>
      <sz val="9"/>
      <name val="Helvetica"/>
      <family val="2"/>
    </font>
    <font>
      <u/>
      <sz val="11"/>
      <color theme="10"/>
      <name val="Calibri"/>
      <family val="2"/>
      <scheme val="minor"/>
    </font>
    <font>
      <sz val="8"/>
      <name val="Cambria"/>
      <family val="1"/>
    </font>
    <font>
      <b/>
      <sz val="9"/>
      <name val="Helvetica 45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name val="Helvetica-Black"/>
      <family val="2"/>
    </font>
    <font>
      <sz val="9"/>
      <name val="Helvetica 45"/>
      <family val="2"/>
    </font>
    <font>
      <b/>
      <sz val="9"/>
      <name val="Helvetica 65"/>
      <family val="2"/>
    </font>
    <font>
      <sz val="9"/>
      <name val="Helvetica 65"/>
    </font>
    <font>
      <sz val="9"/>
      <name val="Arial Narrow"/>
      <family val="2"/>
    </font>
    <font>
      <b/>
      <sz val="10"/>
      <color indexed="56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10"/>
      <color indexed="8"/>
      <name val="MS Sans Serif"/>
      <family val="2"/>
    </font>
    <font>
      <sz val="10"/>
      <name val="Helv"/>
      <charset val="204"/>
    </font>
    <font>
      <sz val="13"/>
      <name val="Tms Rmn"/>
    </font>
    <font>
      <sz val="10"/>
      <name val="Geneva"/>
      <family val="2"/>
    </font>
    <font>
      <sz val="12"/>
      <name val="Tms Rmn"/>
    </font>
    <font>
      <sz val="9"/>
      <name val="Helv"/>
    </font>
    <font>
      <b/>
      <sz val="13"/>
      <name val="Tms Rmn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urier New"/>
      <family val="3"/>
    </font>
    <font>
      <sz val="7"/>
      <name val="Small Fonts"/>
      <family val="2"/>
    </font>
    <font>
      <sz val="10"/>
      <name val="MS Serif"/>
      <family val="1"/>
    </font>
    <font>
      <b/>
      <sz val="10"/>
      <name val="Geneva"/>
      <family val="2"/>
    </font>
    <font>
      <sz val="10"/>
      <color indexed="8"/>
      <name val="Arial"/>
      <family val="2"/>
    </font>
    <font>
      <u val="doubleAccounting"/>
      <sz val="10"/>
      <name val="Times New Roman"/>
      <family val="1"/>
    </font>
    <font>
      <sz val="10"/>
      <color indexed="16"/>
      <name val="MS Serif"/>
      <family val="1"/>
    </font>
    <font>
      <b/>
      <sz val="8"/>
      <name val="MS Sans Serif"/>
      <family val="2"/>
    </font>
    <font>
      <b/>
      <sz val="12"/>
      <name val="Tms Rmn"/>
    </font>
    <font>
      <sz val="10"/>
      <color indexed="12"/>
      <name val="Arial"/>
      <family val="2"/>
    </font>
    <font>
      <b/>
      <sz val="11"/>
      <color indexed="9"/>
      <name val="Arial"/>
      <family val="2"/>
    </font>
    <font>
      <b/>
      <sz val="10"/>
      <color indexed="8"/>
      <name val="Arial"/>
      <family val="2"/>
    </font>
    <font>
      <sz val="11"/>
      <name val="‚l‚r –¾’©"/>
      <charset val="128"/>
    </font>
    <font>
      <sz val="11"/>
      <color indexed="8"/>
      <name val="Times New Roman"/>
      <family val="1"/>
    </font>
    <font>
      <b/>
      <i/>
      <sz val="10"/>
      <color indexed="8"/>
      <name val="Arial"/>
      <family val="2"/>
    </font>
    <font>
      <b/>
      <sz val="11"/>
      <color indexed="16"/>
      <name val="Times New Roman"/>
      <family val="1"/>
    </font>
    <font>
      <b/>
      <sz val="10"/>
      <color indexed="18"/>
      <name val="Arial"/>
      <family val="2"/>
    </font>
    <font>
      <b/>
      <sz val="22"/>
      <color indexed="18"/>
      <name val="Times New Roman"/>
      <family val="1"/>
    </font>
    <font>
      <sz val="9"/>
      <name val="Arial"/>
      <family val="2"/>
    </font>
    <font>
      <sz val="8"/>
      <name val="Wingdings"/>
      <charset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sz val="8"/>
      <color indexed="12"/>
      <name val="Arial"/>
      <family val="2"/>
    </font>
    <font>
      <u val="singleAccounting"/>
      <sz val="10"/>
      <name val="Times New Roman"/>
      <family val="1"/>
    </font>
    <font>
      <sz val="8"/>
      <name val="MS Sans Serif"/>
      <family val="2"/>
    </font>
    <font>
      <b/>
      <sz val="8"/>
      <color indexed="8"/>
      <name val="Helv"/>
    </font>
    <font>
      <b/>
      <sz val="16"/>
      <color indexed="62"/>
      <name val="Arial"/>
      <family val="2"/>
    </font>
    <font>
      <sz val="8"/>
      <color indexed="8"/>
      <name val="Wingdings"/>
      <charset val="2"/>
    </font>
    <font>
      <sz val="11"/>
      <name val="ＭＳ Ｐゴシック"/>
      <family val="2"/>
      <charset val="128"/>
    </font>
    <font>
      <sz val="10"/>
      <name val="Helvetica 45"/>
    </font>
    <font>
      <b/>
      <sz val="10"/>
      <name val="Helvetica 45"/>
    </font>
    <font>
      <b/>
      <sz val="10"/>
      <color indexed="56"/>
      <name val="Helvetica 45"/>
    </font>
    <font>
      <i/>
      <sz val="10"/>
      <name val="Helvetica 45"/>
    </font>
    <font>
      <sz val="10"/>
      <color rgb="FF0070C0"/>
      <name val="Helvetica 45"/>
    </font>
    <font>
      <b/>
      <sz val="14"/>
      <name val="Helvetica-Black"/>
    </font>
    <font>
      <sz val="10"/>
      <color theme="1"/>
      <name val="Helvetica 45"/>
    </font>
    <font>
      <u/>
      <sz val="10"/>
      <name val="Helvetica 45"/>
    </font>
    <font>
      <sz val="10"/>
      <color indexed="8"/>
      <name val="Helvetica"/>
      <family val="2"/>
    </font>
    <font>
      <b/>
      <sz val="11"/>
      <color theme="1"/>
      <name val="Calibri"/>
      <family val="2"/>
      <scheme val="minor"/>
    </font>
    <font>
      <sz val="10"/>
      <color indexed="8"/>
      <name val="Helvetica 45"/>
    </font>
    <font>
      <b/>
      <u/>
      <sz val="10"/>
      <name val="Helvetica 45"/>
    </font>
    <font>
      <sz val="10"/>
      <color rgb="FF00B050"/>
      <name val="Helvetica 45"/>
    </font>
    <font>
      <b/>
      <sz val="10"/>
      <color rgb="FF0070C0"/>
      <name val="Helvetica 45"/>
    </font>
    <font>
      <i/>
      <sz val="9"/>
      <name val="Helvetica"/>
      <family val="2"/>
    </font>
    <font>
      <sz val="10"/>
      <name val="Helvetica45"/>
    </font>
    <font>
      <b/>
      <i/>
      <sz val="10"/>
      <name val="Helvetica 45"/>
    </font>
    <font>
      <sz val="9"/>
      <color rgb="FF000000"/>
      <name val="Helvetica"/>
      <family val="2"/>
    </font>
    <font>
      <b/>
      <sz val="14"/>
      <color rgb="FF000000"/>
      <name val="Helvetica-Black"/>
    </font>
    <font>
      <sz val="10"/>
      <color rgb="FF000000"/>
      <name val="Helvetica 45"/>
    </font>
    <font>
      <b/>
      <sz val="10"/>
      <color rgb="FF000000"/>
      <name val="Helvetica 45"/>
    </font>
    <font>
      <u/>
      <sz val="10"/>
      <color rgb="FF000000"/>
      <name val="Helvetica 45"/>
    </font>
    <font>
      <i/>
      <sz val="10"/>
      <color rgb="FF000000"/>
      <name val="Helvetica 45"/>
    </font>
    <font>
      <sz val="10"/>
      <color rgb="FF000000"/>
      <name val="Helvetica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rgb="FFFF0000"/>
      <name val="Helvetica 45"/>
    </font>
    <font>
      <sz val="10"/>
      <color theme="4" tint="-0.249977111117893"/>
      <name val="Helvetica 45"/>
    </font>
    <font>
      <b/>
      <u/>
      <sz val="10"/>
      <name val="Arial"/>
      <family val="2"/>
    </font>
    <font>
      <b/>
      <u val="singleAccounting"/>
      <sz val="10"/>
      <name val="Arial"/>
      <family val="2"/>
    </font>
    <font>
      <u val="singleAccounting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Helvetica-Black"/>
      <family val="2"/>
    </font>
  </fonts>
  <fills count="7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mediumGray">
        <fgColor indexed="22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7"/>
        <bgColor indexed="8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8"/>
      </patternFill>
    </fill>
    <fill>
      <patternFill patternType="solid">
        <fgColor indexed="23"/>
        <bgColor indexed="8"/>
      </patternFill>
    </fill>
    <fill>
      <patternFill patternType="solid">
        <fgColor indexed="45"/>
        <bgColor indexed="8"/>
      </patternFill>
    </fill>
    <fill>
      <patternFill patternType="solid">
        <fgColor indexed="1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6795556505021"/>
        <bgColor indexed="64"/>
      </patternFill>
    </fill>
  </fills>
  <borders count="63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12"/>
      </left>
      <right style="double">
        <color indexed="12"/>
      </right>
      <top style="double">
        <color indexed="12"/>
      </top>
      <bottom style="dotted">
        <color indexed="12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theme="0" tint="-0.14993743705557422"/>
      </right>
      <top/>
      <bottom style="thin">
        <color indexed="8"/>
      </bottom>
      <diagonal/>
    </border>
  </borders>
  <cellStyleXfs count="562">
    <xf numFmtId="0" fontId="0" fillId="0" borderId="0"/>
    <xf numFmtId="0" fontId="2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168" fontId="9" fillId="0" borderId="0">
      <alignment horizontal="right"/>
    </xf>
    <xf numFmtId="169" fontId="10" fillId="0" borderId="0" applyFont="0" applyFill="0" applyBorder="0" applyAlignment="0" applyProtection="0"/>
    <xf numFmtId="0" fontId="5" fillId="0" borderId="0"/>
    <xf numFmtId="0" fontId="5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5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37" fontId="15" fillId="0" borderId="0"/>
    <xf numFmtId="37" fontId="15" fillId="0" borderId="0"/>
    <xf numFmtId="37" fontId="16" fillId="0" borderId="0"/>
    <xf numFmtId="37" fontId="16" fillId="0" borderId="0"/>
    <xf numFmtId="170" fontId="17" fillId="0" borderId="0" applyFont="0" applyFill="0" applyBorder="0" applyAlignment="0" applyProtection="0"/>
    <xf numFmtId="0" fontId="18" fillId="18" borderId="5" applyNumberFormat="0" applyAlignment="0" applyProtection="0"/>
    <xf numFmtId="0" fontId="18" fillId="18" borderId="5" applyNumberFormat="0" applyAlignment="0" applyProtection="0"/>
    <xf numFmtId="0" fontId="19" fillId="19" borderId="6" applyNumberFormat="0" applyAlignment="0" applyProtection="0"/>
    <xf numFmtId="0" fontId="19" fillId="19" borderId="6" applyNumberFormat="0" applyAlignment="0" applyProtection="0"/>
    <xf numFmtId="0" fontId="20" fillId="0" borderId="7" applyNumberFormat="0" applyFill="0" applyBorder="0" applyProtection="0">
      <alignment horizontal="left" vertical="center"/>
    </xf>
    <xf numFmtId="0" fontId="20" fillId="0" borderId="7" applyNumberFormat="0" applyFill="0" applyBorder="0" applyProtection="0">
      <alignment horizontal="right" vertical="center"/>
    </xf>
    <xf numFmtId="0" fontId="21" fillId="0" borderId="0"/>
    <xf numFmtId="171" fontId="21" fillId="0" borderId="7"/>
    <xf numFmtId="172" fontId="22" fillId="0" borderId="0" applyFont="0" applyFill="0" applyBorder="0" applyAlignment="0" applyProtection="0">
      <alignment horizontal="right"/>
    </xf>
    <xf numFmtId="173" fontId="2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13" fillId="0" borderId="0" applyFont="0" applyFill="0" applyBorder="0" applyAlignment="0" applyProtection="0"/>
    <xf numFmtId="174" fontId="24" fillId="0" borderId="4">
      <protection hidden="1"/>
    </xf>
    <xf numFmtId="175" fontId="22" fillId="0" borderId="0" applyFont="0" applyFill="0" applyBorder="0" applyAlignment="0" applyProtection="0">
      <alignment horizontal="right"/>
    </xf>
    <xf numFmtId="176" fontId="22" fillId="0" borderId="0" applyFont="0" applyFill="0" applyBorder="0" applyAlignment="0" applyProtection="0">
      <alignment horizontal="right"/>
    </xf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1" fillId="0" borderId="0" applyFont="0" applyFill="0" applyBorder="0" applyAlignment="0" applyProtection="0"/>
    <xf numFmtId="177" fontId="13" fillId="0" borderId="0" applyFont="0" applyFill="0" applyBorder="0" applyAlignment="0" applyProtection="0"/>
    <xf numFmtId="178" fontId="9" fillId="20" borderId="8">
      <alignment horizontal="right"/>
    </xf>
    <xf numFmtId="0" fontId="13" fillId="0" borderId="0" applyFont="0" applyFill="0" applyBorder="0" applyAlignment="0" applyProtection="0"/>
    <xf numFmtId="179" fontId="22" fillId="0" borderId="0" applyFont="0" applyFill="0" applyBorder="0" applyAlignment="0" applyProtection="0"/>
    <xf numFmtId="14" fontId="26" fillId="0" borderId="0" applyFont="0" applyFill="0" applyBorder="0" applyAlignment="0" applyProtection="0">
      <alignment horizontal="center"/>
    </xf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8" fontId="27" fillId="0" borderId="0" applyFont="0" applyFill="0" applyBorder="0" applyAlignment="0" applyProtection="0"/>
    <xf numFmtId="181" fontId="22" fillId="0" borderId="9" applyNumberFormat="0" applyFont="0" applyFill="0" applyAlignment="0" applyProtection="0"/>
    <xf numFmtId="42" fontId="28" fillId="0" borderId="0" applyFill="0" applyBorder="0" applyAlignment="0" applyProtection="0"/>
    <xf numFmtId="182" fontId="9" fillId="21" borderId="0"/>
    <xf numFmtId="183" fontId="9" fillId="21" borderId="0"/>
    <xf numFmtId="184" fontId="9" fillId="21" borderId="0"/>
    <xf numFmtId="185" fontId="9" fillId="0" borderId="0"/>
    <xf numFmtId="182" fontId="9" fillId="0" borderId="0"/>
    <xf numFmtId="186" fontId="9" fillId="21" borderId="0"/>
    <xf numFmtId="187" fontId="9" fillId="0" borderId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2" fontId="13" fillId="0" borderId="0" applyFont="0" applyFill="0" applyBorder="0" applyAlignment="0" applyProtection="0"/>
    <xf numFmtId="0" fontId="30" fillId="0" borderId="0" applyFill="0" applyBorder="0" applyProtection="0">
      <alignment horizontal="left"/>
    </xf>
    <xf numFmtId="183" fontId="9" fillId="0" borderId="10"/>
    <xf numFmtId="189" fontId="9" fillId="20" borderId="8">
      <alignment horizontal="right"/>
    </xf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190" fontId="22" fillId="0" borderId="0" applyFont="0" applyFill="0" applyBorder="0" applyAlignment="0" applyProtection="0">
      <alignment horizontal="right"/>
    </xf>
    <xf numFmtId="0" fontId="32" fillId="0" borderId="0" applyProtection="0">
      <alignment horizontal="right"/>
    </xf>
    <xf numFmtId="191" fontId="5" fillId="0" borderId="0" applyNumberFormat="0" applyFill="0" applyBorder="0" applyAlignment="0" applyProtection="0">
      <alignment horizontal="left"/>
    </xf>
    <xf numFmtId="191" fontId="5" fillId="0" borderId="0" applyNumberFormat="0" applyFill="0" applyBorder="0" applyAlignment="0" applyProtection="0">
      <alignment horizontal="left"/>
    </xf>
    <xf numFmtId="0" fontId="7" fillId="0" borderId="11" applyNumberFormat="0" applyAlignment="0" applyProtection="0">
      <alignment horizontal="left" vertical="center"/>
    </xf>
    <xf numFmtId="0" fontId="7" fillId="0" borderId="12">
      <alignment horizontal="left" vertical="center"/>
    </xf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" fillId="0" borderId="0" applyNumberFormat="0" applyFill="0" applyBorder="0" applyProtection="0">
      <alignment wrapText="1"/>
    </xf>
    <xf numFmtId="0" fontId="5" fillId="0" borderId="0" applyNumberFormat="0" applyFill="0" applyBorder="0" applyProtection="0">
      <alignment wrapText="1"/>
    </xf>
    <xf numFmtId="0" fontId="5" fillId="0" borderId="0" applyNumberFormat="0" applyFill="0" applyBorder="0" applyProtection="0">
      <alignment horizontal="justify" vertical="top" wrapText="1"/>
    </xf>
    <xf numFmtId="0" fontId="5" fillId="0" borderId="0" applyNumberFormat="0" applyFill="0" applyBorder="0" applyProtection="0">
      <alignment horizontal="justify" vertical="top" wrapText="1"/>
    </xf>
    <xf numFmtId="0" fontId="36" fillId="0" borderId="16" applyNumberFormat="0" applyFont="0" applyFill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/>
    <xf numFmtId="0" fontId="40" fillId="9" borderId="5" applyNumberFormat="0" applyAlignment="0" applyProtection="0"/>
    <xf numFmtId="0" fontId="40" fillId="9" borderId="5" applyNumberFormat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192" fontId="9" fillId="0" borderId="0">
      <alignment horizontal="right"/>
    </xf>
    <xf numFmtId="193" fontId="9" fillId="21" borderId="0">
      <alignment horizontal="right"/>
    </xf>
    <xf numFmtId="169" fontId="42" fillId="0" borderId="0" applyFill="0" applyBorder="0" applyAlignment="0" applyProtection="0"/>
    <xf numFmtId="194" fontId="9" fillId="21" borderId="8">
      <alignment horizontal="right"/>
    </xf>
    <xf numFmtId="195" fontId="22" fillId="0" borderId="0" applyFont="0" applyFill="0" applyBorder="0" applyAlignment="0" applyProtection="0">
      <alignment horizontal="right"/>
    </xf>
    <xf numFmtId="164" fontId="43" fillId="0" borderId="7"/>
    <xf numFmtId="0" fontId="44" fillId="9" borderId="0" applyNumberFormat="0" applyBorder="0" applyAlignment="0" applyProtection="0"/>
    <xf numFmtId="0" fontId="44" fillId="9" borderId="0" applyNumberFormat="0" applyBorder="0" applyAlignment="0" applyProtection="0"/>
    <xf numFmtId="196" fontId="21" fillId="0" borderId="0"/>
    <xf numFmtId="197" fontId="45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46" fillId="0" borderId="0"/>
    <xf numFmtId="0" fontId="46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23" fillId="0" borderId="0"/>
    <xf numFmtId="0" fontId="5" fillId="0" borderId="0"/>
    <xf numFmtId="198" fontId="1" fillId="0" borderId="0"/>
    <xf numFmtId="0" fontId="47" fillId="0" borderId="0"/>
    <xf numFmtId="0" fontId="25" fillId="6" borderId="18" applyNumberFormat="0" applyFont="0" applyAlignment="0" applyProtection="0"/>
    <xf numFmtId="0" fontId="25" fillId="6" borderId="18" applyNumberFormat="0" applyFont="0" applyAlignment="0" applyProtection="0"/>
    <xf numFmtId="200" fontId="43" fillId="0" borderId="0"/>
    <xf numFmtId="0" fontId="48" fillId="18" borderId="19" applyNumberFormat="0" applyAlignment="0" applyProtection="0"/>
    <xf numFmtId="0" fontId="48" fillId="18" borderId="19" applyNumberFormat="0" applyAlignment="0" applyProtection="0"/>
    <xf numFmtId="201" fontId="25" fillId="0" borderId="0"/>
    <xf numFmtId="201" fontId="25" fillId="0" borderId="0"/>
    <xf numFmtId="1" fontId="49" fillId="0" borderId="0" applyProtection="0">
      <alignment horizontal="right" vertical="center"/>
    </xf>
    <xf numFmtId="202" fontId="9" fillId="21" borderId="0"/>
    <xf numFmtId="203" fontId="9" fillId="0" borderId="0"/>
    <xf numFmtId="204" fontId="24" fillId="0" borderId="0">
      <protection hidden="1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3" fillId="0" borderId="0" applyFont="0" applyFill="0" applyBorder="0" applyAlignment="0" applyProtection="0"/>
    <xf numFmtId="164" fontId="43" fillId="0" borderId="0"/>
    <xf numFmtId="205" fontId="9" fillId="21" borderId="0">
      <alignment horizontal="right"/>
    </xf>
    <xf numFmtId="0" fontId="25" fillId="0" borderId="0" applyNumberFormat="0" applyFont="0" applyFill="0" applyBorder="0" applyAlignment="0" applyProtection="0">
      <alignment horizontal="left"/>
    </xf>
    <xf numFmtId="15" fontId="25" fillId="0" borderId="0" applyFont="0" applyFill="0" applyBorder="0" applyAlignment="0" applyProtection="0"/>
    <xf numFmtId="4" fontId="25" fillId="0" borderId="0" applyFont="0" applyFill="0" applyBorder="0" applyAlignment="0" applyProtection="0"/>
    <xf numFmtId="0" fontId="51" fillId="0" borderId="4">
      <alignment horizontal="center"/>
    </xf>
    <xf numFmtId="3" fontId="25" fillId="0" borderId="0" applyFont="0" applyFill="0" applyBorder="0" applyAlignment="0" applyProtection="0"/>
    <xf numFmtId="0" fontId="25" fillId="22" borderId="0" applyNumberFormat="0" applyFont="0" applyBorder="0" applyAlignment="0" applyProtection="0"/>
    <xf numFmtId="206" fontId="9" fillId="20" borderId="0"/>
    <xf numFmtId="0" fontId="52" fillId="0" borderId="0">
      <alignment horizontal="center"/>
    </xf>
    <xf numFmtId="0" fontId="9" fillId="0" borderId="7">
      <alignment horizontal="centerContinuous"/>
    </xf>
    <xf numFmtId="207" fontId="9" fillId="20" borderId="8">
      <alignment horizontal="right"/>
    </xf>
    <xf numFmtId="0" fontId="53" fillId="0" borderId="20"/>
    <xf numFmtId="0" fontId="54" fillId="0" borderId="0" applyNumberFormat="0" applyFill="0" applyBorder="0" applyProtection="0">
      <alignment horizontal="right" vertical="center"/>
    </xf>
    <xf numFmtId="0" fontId="55" fillId="0" borderId="21">
      <alignment vertical="center"/>
    </xf>
    <xf numFmtId="42" fontId="17" fillId="0" borderId="0" applyFill="0" applyBorder="0" applyAlignment="0" applyProtection="0"/>
    <xf numFmtId="37" fontId="56" fillId="0" borderId="22"/>
    <xf numFmtId="37" fontId="56" fillId="0" borderId="22"/>
    <xf numFmtId="0" fontId="57" fillId="0" borderId="0"/>
    <xf numFmtId="0" fontId="58" fillId="23" borderId="0" applyNumberFormat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23" borderId="0" applyNumberFormat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1" fillId="24" borderId="0" applyNumberFormat="0" applyBorder="0" applyAlignment="0" applyProtection="0"/>
    <xf numFmtId="0" fontId="61" fillId="24" borderId="0" applyNumberFormat="0" applyBorder="0" applyAlignment="0" applyProtection="0"/>
    <xf numFmtId="0" fontId="61" fillId="24" borderId="0" applyNumberFormat="0" applyBorder="0" applyAlignment="0" applyProtection="0"/>
    <xf numFmtId="0" fontId="61" fillId="24" borderId="0" applyNumberFormat="0" applyBorder="0" applyProtection="0">
      <alignment horizontal="center"/>
    </xf>
    <xf numFmtId="0" fontId="62" fillId="24" borderId="0" applyNumberFormat="0" applyBorder="0" applyAlignment="0" applyProtection="0"/>
    <xf numFmtId="0" fontId="5" fillId="0" borderId="0" applyNumberFormat="0" applyFont="0" applyFill="0" applyBorder="0" applyProtection="0">
      <alignment horizontal="right"/>
    </xf>
    <xf numFmtId="0" fontId="5" fillId="0" borderId="0" applyNumberFormat="0" applyFont="0" applyFill="0" applyBorder="0" applyProtection="0">
      <alignment horizontal="right"/>
    </xf>
    <xf numFmtId="0" fontId="5" fillId="0" borderId="0" applyNumberFormat="0" applyFont="0" applyFill="0" applyBorder="0" applyProtection="0">
      <alignment horizontal="left"/>
    </xf>
    <xf numFmtId="0" fontId="5" fillId="0" borderId="0" applyNumberFormat="0" applyFont="0" applyFill="0" applyBorder="0" applyProtection="0">
      <alignment horizontal="left"/>
    </xf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5" fillId="25" borderId="0" applyNumberFormat="0" applyFont="0" applyBorder="0" applyAlignment="0" applyProtection="0"/>
    <xf numFmtId="0" fontId="5" fillId="25" borderId="0" applyNumberFormat="0" applyFont="0" applyBorder="0" applyAlignment="0" applyProtection="0"/>
    <xf numFmtId="208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4" applyNumberFormat="0" applyFont="0" applyFill="0" applyAlignment="0" applyProtection="0"/>
    <xf numFmtId="0" fontId="5" fillId="0" borderId="4" applyNumberFormat="0" applyFont="0" applyFill="0" applyAlignment="0" applyProtection="0"/>
    <xf numFmtId="0" fontId="65" fillId="0" borderId="23"/>
    <xf numFmtId="0" fontId="66" fillId="0" borderId="0" applyBorder="0" applyProtection="0">
      <alignment vertical="center"/>
    </xf>
    <xf numFmtId="181" fontId="66" fillId="0" borderId="7" applyBorder="0" applyProtection="0">
      <alignment horizontal="right" vertical="center"/>
    </xf>
    <xf numFmtId="0" fontId="67" fillId="26" borderId="0" applyBorder="0" applyProtection="0">
      <alignment horizontal="centerContinuous" vertical="center"/>
    </xf>
    <xf numFmtId="0" fontId="67" fillId="24" borderId="7" applyBorder="0" applyProtection="0">
      <alignment horizontal="centerContinuous" vertical="center"/>
    </xf>
    <xf numFmtId="0" fontId="68" fillId="0" borderId="0"/>
    <xf numFmtId="0" fontId="47" fillId="0" borderId="0"/>
    <xf numFmtId="0" fontId="69" fillId="0" borderId="0" applyFill="0" applyBorder="0" applyProtection="0">
      <alignment horizontal="left"/>
    </xf>
    <xf numFmtId="0" fontId="30" fillId="0" borderId="24" applyFill="0" applyBorder="0" applyProtection="0">
      <alignment horizontal="left" vertical="top"/>
    </xf>
    <xf numFmtId="0" fontId="70" fillId="0" borderId="0">
      <alignment horizontal="centerContinuous"/>
    </xf>
    <xf numFmtId="199" fontId="71" fillId="0" borderId="0" applyNumberFormat="0" applyFill="0" applyBorder="0">
      <alignment horizontal="left"/>
    </xf>
    <xf numFmtId="199" fontId="72" fillId="0" borderId="0" applyNumberFormat="0" applyFill="0" applyBorder="0">
      <alignment horizontal="right"/>
    </xf>
    <xf numFmtId="49" fontId="73" fillId="0" borderId="0"/>
    <xf numFmtId="0" fontId="74" fillId="0" borderId="0"/>
    <xf numFmtId="0" fontId="75" fillId="0" borderId="0"/>
    <xf numFmtId="0" fontId="23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1" borderId="0" applyNumberFormat="0" applyBorder="0" applyProtection="0">
      <alignment horizontal="left" vertical="center"/>
    </xf>
    <xf numFmtId="0" fontId="79" fillId="0" borderId="0"/>
    <xf numFmtId="0" fontId="36" fillId="0" borderId="25" applyNumberFormat="0" applyFont="0" applyFill="0" applyAlignment="0" applyProtection="0"/>
    <xf numFmtId="0" fontId="36" fillId="0" borderId="25" applyNumberFormat="0" applyFont="0" applyFill="0" applyAlignment="0" applyProtection="0"/>
    <xf numFmtId="0" fontId="80" fillId="0" borderId="26" applyNumberFormat="0" applyFill="0" applyAlignment="0" applyProtection="0"/>
    <xf numFmtId="0" fontId="80" fillId="0" borderId="26" applyNumberFormat="0" applyFill="0" applyAlignment="0" applyProtection="0"/>
    <xf numFmtId="37" fontId="56" fillId="0" borderId="7"/>
    <xf numFmtId="37" fontId="56" fillId="0" borderId="7"/>
    <xf numFmtId="0" fontId="81" fillId="0" borderId="0">
      <alignment horizontal="fill"/>
    </xf>
    <xf numFmtId="37" fontId="56" fillId="0" borderId="27"/>
    <xf numFmtId="37" fontId="56" fillId="0" borderId="27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209" fontId="82" fillId="0" borderId="7" applyBorder="0" applyProtection="0">
      <alignment horizontal="right"/>
    </xf>
    <xf numFmtId="210" fontId="17" fillId="0" borderId="0" applyFont="0" applyFill="0" applyBorder="0" applyAlignment="0" applyProtection="0"/>
    <xf numFmtId="40" fontId="83" fillId="0" borderId="0" applyAlignment="0"/>
    <xf numFmtId="213" fontId="36" fillId="0" borderId="0"/>
    <xf numFmtId="0" fontId="11" fillId="0" borderId="0"/>
    <xf numFmtId="43" fontId="5" fillId="0" borderId="0" applyFont="0" applyFill="0" applyBorder="0" applyAlignment="0" applyProtection="0"/>
    <xf numFmtId="199" fontId="89" fillId="0" borderId="0"/>
    <xf numFmtId="8" fontId="25" fillId="0" borderId="0" applyFont="0" applyFill="0" applyBorder="0" applyAlignment="0" applyProtection="0"/>
    <xf numFmtId="0" fontId="97" fillId="0" borderId="0"/>
    <xf numFmtId="43" fontId="1" fillId="0" borderId="0" applyFont="0" applyFill="0" applyBorder="0" applyAlignment="0" applyProtection="0"/>
    <xf numFmtId="0" fontId="99" fillId="0" borderId="0" applyNumberFormat="0" applyFill="0" applyBorder="0" applyAlignment="0" applyProtection="0"/>
    <xf numFmtId="0" fontId="97" fillId="0" borderId="0" applyProtection="0"/>
    <xf numFmtId="0" fontId="5" fillId="0" borderId="0"/>
    <xf numFmtId="0" fontId="112" fillId="0" borderId="0" applyNumberFormat="0" applyFill="0" applyBorder="0" applyAlignment="0" applyProtection="0"/>
    <xf numFmtId="0" fontId="5" fillId="0" borderId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5" fillId="0" borderId="0"/>
    <xf numFmtId="0" fontId="112" fillId="0" borderId="0" applyNumberFormat="0" applyFill="0" applyBorder="0" applyAlignment="0" applyProtection="0"/>
    <xf numFmtId="0" fontId="5" fillId="0" borderId="0"/>
    <xf numFmtId="0" fontId="5" fillId="0" borderId="0"/>
    <xf numFmtId="0" fontId="112" fillId="0" borderId="0" applyNumberFormat="0" applyFill="0" applyBorder="0" applyAlignment="0" applyProtection="0"/>
    <xf numFmtId="0" fontId="5" fillId="0" borderId="0"/>
    <xf numFmtId="0" fontId="113" fillId="0" borderId="0"/>
    <xf numFmtId="0" fontId="5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5" fillId="0" borderId="0"/>
    <xf numFmtId="0" fontId="5" fillId="0" borderId="0"/>
    <xf numFmtId="219" fontId="5" fillId="0" borderId="0" applyFont="0" applyFill="0" applyBorder="0" applyAlignment="0" applyProtection="0"/>
    <xf numFmtId="0" fontId="25" fillId="0" borderId="0"/>
    <xf numFmtId="220" fontId="114" fillId="0" borderId="0" applyFont="0" applyFill="0" applyBorder="0" applyAlignment="0" applyProtection="0"/>
    <xf numFmtId="0" fontId="76" fillId="0" borderId="0"/>
    <xf numFmtId="167" fontId="114" fillId="0" borderId="0" applyFont="0" applyFill="0" applyBorder="0" applyAlignment="0" applyProtection="0"/>
    <xf numFmtId="10" fontId="114" fillId="0" borderId="0" applyFont="0" applyFill="0" applyBorder="0" applyAlignment="0" applyProtection="0"/>
    <xf numFmtId="0" fontId="63" fillId="0" borderId="0" applyNumberFormat="0" applyAlignment="0"/>
    <xf numFmtId="221" fontId="5" fillId="28" borderId="37">
      <alignment horizontal="center" vertical="center"/>
    </xf>
    <xf numFmtId="0" fontId="27" fillId="0" borderId="0">
      <alignment horizontal="center" wrapText="1"/>
      <protection locked="0"/>
    </xf>
    <xf numFmtId="199" fontId="6" fillId="0" borderId="0" applyNumberFormat="0">
      <alignment horizontal="center"/>
    </xf>
    <xf numFmtId="9" fontId="115" fillId="0" borderId="0" applyFont="0" applyFill="0" applyBorder="0" applyAlignment="0" applyProtection="0"/>
    <xf numFmtId="0" fontId="116" fillId="0" borderId="0" applyNumberFormat="0" applyFill="0" applyBorder="0" applyAlignment="0" applyProtection="0"/>
    <xf numFmtId="222" fontId="5" fillId="0" borderId="0" applyFill="0" applyBorder="0" applyAlignment="0"/>
    <xf numFmtId="0" fontId="117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5" fillId="0" borderId="0" applyFill="0" applyBorder="0" applyAlignment="0"/>
    <xf numFmtId="0" fontId="117" fillId="0" borderId="0" applyFill="0" applyBorder="0" applyAlignment="0"/>
    <xf numFmtId="0" fontId="5" fillId="0" borderId="0" applyFill="0" applyBorder="0" applyAlignment="0"/>
    <xf numFmtId="0" fontId="117" fillId="0" borderId="0" applyFill="0" applyBorder="0" applyAlignment="0"/>
    <xf numFmtId="0" fontId="118" fillId="0" borderId="7" applyNumberFormat="0" applyFill="0" applyProtection="0">
      <alignment horizontal="center"/>
    </xf>
    <xf numFmtId="0" fontId="61" fillId="34" borderId="0">
      <alignment horizontal="left"/>
    </xf>
    <xf numFmtId="0" fontId="119" fillId="34" borderId="0">
      <alignment horizontal="right"/>
    </xf>
    <xf numFmtId="0" fontId="120" fillId="18" borderId="0">
      <alignment horizontal="center"/>
    </xf>
    <xf numFmtId="0" fontId="119" fillId="34" borderId="0">
      <alignment horizontal="right"/>
    </xf>
    <xf numFmtId="0" fontId="121" fillId="18" borderId="0">
      <alignment horizontal="left"/>
    </xf>
    <xf numFmtId="218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228" fontId="5" fillId="0" borderId="0" applyFont="0" applyFill="0" applyBorder="0" applyAlignment="0" applyProtection="0"/>
    <xf numFmtId="0" fontId="117" fillId="0" borderId="0" applyFont="0" applyFill="0" applyBorder="0" applyAlignment="0" applyProtection="0"/>
    <xf numFmtId="37" fontId="114" fillId="0" borderId="0" applyFont="0" applyFill="0" applyBorder="0" applyAlignment="0" applyProtection="0"/>
    <xf numFmtId="164" fontId="114" fillId="0" borderId="0" applyFont="0" applyFill="0" applyBorder="0" applyAlignment="0" applyProtection="0"/>
    <xf numFmtId="39" fontId="114" fillId="0" borderId="0" applyFont="0" applyFill="0" applyBorder="0" applyAlignment="0" applyProtection="0"/>
    <xf numFmtId="167" fontId="122" fillId="0" borderId="0" applyNumberFormat="0" applyFill="0" applyAlignment="0" applyProtection="0"/>
    <xf numFmtId="0" fontId="123" fillId="0" borderId="0" applyNumberFormat="0" applyAlignment="0">
      <alignment horizontal="left"/>
    </xf>
    <xf numFmtId="0" fontId="36" fillId="0" borderId="0" applyNumberFormat="0" applyAlignment="0"/>
    <xf numFmtId="229" fontId="5" fillId="0" borderId="0" applyFont="0" applyFill="0" applyBorder="0" applyAlignment="0" applyProtection="0">
      <alignment horizontal="right"/>
    </xf>
    <xf numFmtId="230" fontId="5" fillId="0" borderId="0" applyFont="0" applyFill="0" applyBorder="0" applyAlignment="0" applyProtection="0">
      <alignment horizontal="right"/>
    </xf>
    <xf numFmtId="231" fontId="5" fillId="0" borderId="0" applyFont="0" applyFill="0" applyBorder="0" applyAlignment="0" applyProtection="0">
      <alignment horizontal="right"/>
    </xf>
    <xf numFmtId="232" fontId="5" fillId="0" borderId="0" applyFont="0" applyFill="0" applyBorder="0" applyAlignment="0" applyProtection="0">
      <alignment horizontal="right"/>
    </xf>
    <xf numFmtId="233" fontId="5" fillId="0" borderId="0" applyFont="0" applyFill="0" applyBorder="0" applyAlignment="0" applyProtection="0">
      <alignment horizontal="right"/>
    </xf>
    <xf numFmtId="232" fontId="5" fillId="0" borderId="0" applyFont="0" applyFill="0" applyBorder="0" applyAlignment="0" applyProtection="0">
      <alignment horizontal="right"/>
    </xf>
    <xf numFmtId="234" fontId="5" fillId="0" borderId="0" applyFont="0" applyFill="0" applyBorder="0" applyAlignment="0" applyProtection="0">
      <alignment horizontal="right"/>
    </xf>
    <xf numFmtId="235" fontId="5" fillId="0" borderId="0" applyFont="0" applyFill="0" applyBorder="0" applyAlignment="0" applyProtection="0">
      <alignment horizontal="right"/>
    </xf>
    <xf numFmtId="0" fontId="117" fillId="0" borderId="0" applyFont="0" applyFill="0" applyBorder="0" applyAlignment="0" applyProtection="0"/>
    <xf numFmtId="6" fontId="124" fillId="0" borderId="0" applyFont="0" applyFill="0" applyBorder="0" applyAlignment="0" applyProtection="0"/>
    <xf numFmtId="5" fontId="114" fillId="0" borderId="0" applyFont="0" applyFill="0" applyBorder="0" applyAlignment="0" applyProtection="0"/>
    <xf numFmtId="7" fontId="114" fillId="0" borderId="0" applyFont="0" applyFill="0" applyBorder="0" applyAlignment="0" applyProtection="0"/>
    <xf numFmtId="14" fontId="5" fillId="0" borderId="0" applyFont="0" applyFill="0" applyBorder="0" applyProtection="0">
      <alignment horizontal="right"/>
    </xf>
    <xf numFmtId="17" fontId="6" fillId="0" borderId="0" applyFill="0" applyBorder="0" applyProtection="0">
      <alignment horizontal="center"/>
    </xf>
    <xf numFmtId="14" fontId="125" fillId="0" borderId="0" applyFill="0" applyBorder="0" applyAlignment="0"/>
    <xf numFmtId="42" fontId="126" fillId="0" borderId="0"/>
    <xf numFmtId="236" fontId="126" fillId="0" borderId="0"/>
    <xf numFmtId="38" fontId="25" fillId="0" borderId="38">
      <alignment vertical="center"/>
    </xf>
    <xf numFmtId="237" fontId="5" fillId="0" borderId="0" applyFont="0" applyFill="0" applyBorder="0" applyAlignment="0" applyProtection="0"/>
    <xf numFmtId="238" fontId="5" fillId="0" borderId="0" applyFont="0" applyFill="0" applyBorder="0" applyAlignment="0" applyProtection="0"/>
    <xf numFmtId="42" fontId="23" fillId="0" borderId="0"/>
    <xf numFmtId="0" fontId="117" fillId="0" borderId="0" applyFill="0" applyBorder="0" applyAlignment="0"/>
    <xf numFmtId="0" fontId="117" fillId="0" borderId="0" applyFill="0" applyBorder="0" applyAlignment="0"/>
    <xf numFmtId="0" fontId="117" fillId="0" borderId="0" applyFill="0" applyBorder="0" applyAlignment="0"/>
    <xf numFmtId="0" fontId="5" fillId="0" borderId="0" applyFill="0" applyBorder="0" applyAlignment="0"/>
    <xf numFmtId="0" fontId="117" fillId="0" borderId="0" applyFill="0" applyBorder="0" applyAlignment="0"/>
    <xf numFmtId="0" fontId="127" fillId="0" borderId="0" applyNumberFormat="0" applyAlignment="0">
      <alignment horizontal="left"/>
    </xf>
    <xf numFmtId="239" fontId="5" fillId="0" borderId="0" applyFont="0" applyFill="0" applyBorder="0" applyAlignment="0" applyProtection="0"/>
    <xf numFmtId="38" fontId="63" fillId="20" borderId="0" applyNumberFormat="0" applyBorder="0" applyAlignment="0" applyProtection="0"/>
    <xf numFmtId="240" fontId="5" fillId="0" borderId="0">
      <protection locked="0"/>
    </xf>
    <xf numFmtId="240" fontId="5" fillId="0" borderId="0">
      <protection locked="0"/>
    </xf>
    <xf numFmtId="0" fontId="128" fillId="0" borderId="4">
      <alignment horizontal="center"/>
    </xf>
    <xf numFmtId="38" fontId="129" fillId="0" borderId="0" applyNumberFormat="0" applyFill="0" applyBorder="0" applyProtection="0">
      <alignment horizontal="center"/>
    </xf>
    <xf numFmtId="0" fontId="128" fillId="0" borderId="4">
      <alignment horizontal="center"/>
    </xf>
    <xf numFmtId="0" fontId="128" fillId="0" borderId="0">
      <alignment horizontal="center"/>
    </xf>
    <xf numFmtId="0" fontId="130" fillId="0" borderId="39" applyNumberFormat="0" applyFill="0" applyAlignment="0" applyProtection="0"/>
    <xf numFmtId="10" fontId="63" fillId="35" borderId="40" applyNumberFormat="0" applyBorder="0" applyAlignment="0" applyProtection="0"/>
    <xf numFmtId="164" fontId="5" fillId="36" borderId="0"/>
    <xf numFmtId="38" fontId="131" fillId="24" borderId="0" applyNumberFormat="0" applyBorder="0" applyAlignment="0" applyProtection="0">
      <alignment horizontal="center"/>
    </xf>
    <xf numFmtId="0" fontId="115" fillId="0" borderId="0"/>
    <xf numFmtId="0" fontId="61" fillId="34" borderId="0">
      <alignment horizontal="left"/>
    </xf>
    <xf numFmtId="0" fontId="132" fillId="18" borderId="0">
      <alignment horizontal="left"/>
    </xf>
    <xf numFmtId="0" fontId="117" fillId="0" borderId="0" applyFill="0" applyBorder="0" applyAlignment="0"/>
    <xf numFmtId="0" fontId="117" fillId="0" borderId="0" applyFill="0" applyBorder="0" applyAlignment="0"/>
    <xf numFmtId="0" fontId="117" fillId="0" borderId="0" applyFill="0" applyBorder="0" applyAlignment="0"/>
    <xf numFmtId="0" fontId="5" fillId="0" borderId="0" applyFill="0" applyBorder="0" applyAlignment="0"/>
    <xf numFmtId="0" fontId="117" fillId="0" borderId="0" applyFill="0" applyBorder="0" applyAlignment="0"/>
    <xf numFmtId="164" fontId="5" fillId="34" borderId="0"/>
    <xf numFmtId="241" fontId="5" fillId="0" borderId="0" applyFont="0" applyFill="0" applyBorder="0" applyAlignment="0" applyProtection="0"/>
    <xf numFmtId="242" fontId="5" fillId="0" borderId="0" applyFont="0" applyFill="0" applyBorder="0" applyAlignment="0" applyProtection="0"/>
    <xf numFmtId="243" fontId="5" fillId="0" borderId="0" applyFont="0" applyFill="0" applyBorder="0" applyAlignment="0" applyProtection="0"/>
    <xf numFmtId="244" fontId="5" fillId="0" borderId="0" applyFont="0" applyFill="0" applyBorder="0" applyAlignment="0" applyProtection="0"/>
    <xf numFmtId="37" fontId="122" fillId="0" borderId="0"/>
    <xf numFmtId="0" fontId="2" fillId="0" borderId="0"/>
    <xf numFmtId="0" fontId="5" fillId="0" borderId="0"/>
    <xf numFmtId="38" fontId="124" fillId="0" borderId="0" applyFont="0" applyFill="0" applyBorder="0" applyAlignment="0" applyProtection="0"/>
    <xf numFmtId="245" fontId="115" fillId="0" borderId="0" applyFont="0" applyFill="0" applyBorder="0" applyAlignment="0" applyProtection="0"/>
    <xf numFmtId="246" fontId="5" fillId="0" borderId="0" applyFont="0" applyFill="0" applyBorder="0" applyProtection="0">
      <alignment horizontal="left"/>
    </xf>
    <xf numFmtId="247" fontId="5" fillId="0" borderId="0" applyFont="0" applyFill="0" applyBorder="0" applyProtection="0">
      <alignment horizontal="center"/>
    </xf>
    <xf numFmtId="248" fontId="5" fillId="0" borderId="0" applyFont="0" applyFill="0" applyBorder="0" applyProtection="0">
      <alignment horizontal="center"/>
    </xf>
    <xf numFmtId="40" fontId="133" fillId="0" borderId="0" applyFont="0" applyFill="0" applyBorder="0" applyAlignment="0" applyProtection="0"/>
    <xf numFmtId="38" fontId="133" fillId="0" borderId="0" applyFont="0" applyFill="0" applyBorder="0" applyAlignment="0" applyProtection="0"/>
    <xf numFmtId="40" fontId="134" fillId="37" borderId="0">
      <alignment horizontal="right"/>
    </xf>
    <xf numFmtId="0" fontId="135" fillId="20" borderId="0">
      <alignment horizontal="right"/>
    </xf>
    <xf numFmtId="0" fontId="136" fillId="37" borderId="8"/>
    <xf numFmtId="0" fontId="137" fillId="0" borderId="0" applyBorder="0">
      <alignment horizontal="centerContinuous"/>
    </xf>
    <xf numFmtId="0" fontId="138" fillId="0" borderId="0" applyBorder="0">
      <alignment horizontal="centerContinuous"/>
    </xf>
    <xf numFmtId="14" fontId="27" fillId="0" borderId="0">
      <alignment horizontal="center" wrapText="1"/>
      <protection locked="0"/>
    </xf>
    <xf numFmtId="249" fontId="5" fillId="0" borderId="0" applyFont="0" applyFill="0" applyBorder="0" applyAlignment="0" applyProtection="0"/>
    <xf numFmtId="250" fontId="5" fillId="0" borderId="0"/>
    <xf numFmtId="25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52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253" fontId="115" fillId="0" borderId="0" applyFont="0" applyFill="0" applyBorder="0" applyAlignment="0" applyProtection="0"/>
    <xf numFmtId="0" fontId="117" fillId="0" borderId="0" applyFill="0" applyBorder="0" applyAlignment="0"/>
    <xf numFmtId="0" fontId="117" fillId="0" borderId="0" applyFill="0" applyBorder="0" applyAlignment="0"/>
    <xf numFmtId="0" fontId="117" fillId="0" borderId="0" applyFill="0" applyBorder="0" applyAlignment="0"/>
    <xf numFmtId="0" fontId="5" fillId="0" borderId="0" applyFill="0" applyBorder="0" applyAlignment="0"/>
    <xf numFmtId="0" fontId="117" fillId="0" borderId="0" applyFill="0" applyBorder="0" applyAlignment="0"/>
    <xf numFmtId="254" fontId="5" fillId="0" borderId="0"/>
    <xf numFmtId="49" fontId="139" fillId="0" borderId="0">
      <alignment horizontal="right"/>
    </xf>
    <xf numFmtId="0" fontId="140" fillId="38" borderId="0" applyNumberFormat="0" applyFont="0" applyBorder="0" applyAlignment="0">
      <alignment horizontal="center"/>
    </xf>
    <xf numFmtId="0" fontId="132" fillId="9" borderId="0">
      <alignment horizontal="center"/>
    </xf>
    <xf numFmtId="49" fontId="141" fillId="18" borderId="0">
      <alignment horizontal="center"/>
    </xf>
    <xf numFmtId="255" fontId="43" fillId="0" borderId="0" applyNumberFormat="0" applyFill="0" applyBorder="0" applyAlignment="0" applyProtection="0">
      <alignment horizontal="left"/>
    </xf>
    <xf numFmtId="0" fontId="6" fillId="0" borderId="0" applyNumberFormat="0" applyFill="0" applyBorder="0" applyProtection="0">
      <alignment horizontal="center" vertical="top" wrapText="1"/>
    </xf>
    <xf numFmtId="0" fontId="119" fillId="34" borderId="0">
      <alignment horizontal="center"/>
    </xf>
    <xf numFmtId="0" fontId="119" fillId="34" borderId="0">
      <alignment horizontal="centerContinuous"/>
    </xf>
    <xf numFmtId="0" fontId="142" fillId="18" borderId="0">
      <alignment horizontal="left"/>
    </xf>
    <xf numFmtId="49" fontId="142" fillId="18" borderId="0">
      <alignment horizontal="center"/>
    </xf>
    <xf numFmtId="0" fontId="61" fillId="34" borderId="0">
      <alignment horizontal="left"/>
    </xf>
    <xf numFmtId="49" fontId="142" fillId="18" borderId="0">
      <alignment horizontal="left"/>
    </xf>
    <xf numFmtId="0" fontId="61" fillId="34" borderId="0">
      <alignment horizontal="centerContinuous"/>
    </xf>
    <xf numFmtId="0" fontId="61" fillId="34" borderId="0">
      <alignment horizontal="right"/>
    </xf>
    <xf numFmtId="49" fontId="132" fillId="18" borderId="0">
      <alignment horizontal="left"/>
    </xf>
    <xf numFmtId="0" fontId="119" fillId="34" borderId="0">
      <alignment horizontal="right"/>
    </xf>
    <xf numFmtId="0" fontId="142" fillId="7" borderId="0">
      <alignment horizontal="center"/>
    </xf>
    <xf numFmtId="0" fontId="143" fillId="7" borderId="0">
      <alignment horizontal="center"/>
    </xf>
    <xf numFmtId="0" fontId="140" fillId="1" borderId="12" applyNumberFormat="0" applyFont="0" applyAlignment="0">
      <alignment horizontal="center"/>
    </xf>
    <xf numFmtId="41" fontId="144" fillId="0" borderId="0"/>
    <xf numFmtId="236" fontId="144" fillId="0" borderId="0"/>
    <xf numFmtId="3" fontId="63" fillId="0" borderId="0"/>
    <xf numFmtId="0" fontId="145" fillId="0" borderId="0" applyNumberFormat="0" applyFill="0" applyBorder="0" applyAlignment="0">
      <alignment horizontal="center"/>
    </xf>
    <xf numFmtId="0" fontId="5" fillId="0" borderId="0"/>
    <xf numFmtId="4" fontId="5" fillId="0" borderId="0" applyProtection="0">
      <protection locked="0"/>
    </xf>
    <xf numFmtId="40" fontId="146" fillId="0" borderId="0" applyBorder="0">
      <alignment horizontal="right"/>
    </xf>
    <xf numFmtId="3" fontId="111" fillId="0" borderId="0" applyNumberFormat="0"/>
    <xf numFmtId="49" fontId="125" fillId="0" borderId="0" applyFill="0" applyBorder="0" applyAlignment="0"/>
    <xf numFmtId="0" fontId="36" fillId="0" borderId="0" applyFill="0" applyBorder="0" applyAlignment="0"/>
    <xf numFmtId="0" fontId="5" fillId="0" borderId="0" applyFill="0" applyBorder="0" applyAlignment="0"/>
    <xf numFmtId="3" fontId="147" fillId="0" borderId="0"/>
    <xf numFmtId="256" fontId="111" fillId="0" borderId="12">
      <alignment horizontal="center" wrapText="1"/>
    </xf>
    <xf numFmtId="3" fontId="111" fillId="0" borderId="7" applyNumberFormat="0"/>
    <xf numFmtId="0" fontId="148" fillId="18" borderId="0">
      <alignment horizontal="center"/>
    </xf>
    <xf numFmtId="257" fontId="5" fillId="0" borderId="0" applyFont="0" applyFill="0" applyBorder="0" applyAlignment="0" applyProtection="0"/>
    <xf numFmtId="258" fontId="5" fillId="0" borderId="0" applyFont="0" applyFill="0" applyBorder="0" applyAlignment="0" applyProtection="0"/>
    <xf numFmtId="0" fontId="149" fillId="0" borderId="0"/>
    <xf numFmtId="44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174" fillId="0" borderId="0" applyNumberFormat="0" applyFill="0" applyBorder="0" applyAlignment="0" applyProtection="0"/>
    <xf numFmtId="0" fontId="175" fillId="0" borderId="48" applyNumberFormat="0" applyFill="0" applyAlignment="0" applyProtection="0"/>
    <xf numFmtId="0" fontId="176" fillId="0" borderId="49" applyNumberFormat="0" applyFill="0" applyAlignment="0" applyProtection="0"/>
    <xf numFmtId="0" fontId="177" fillId="0" borderId="50" applyNumberFormat="0" applyFill="0" applyAlignment="0" applyProtection="0"/>
    <xf numFmtId="0" fontId="177" fillId="0" borderId="0" applyNumberFormat="0" applyFill="0" applyBorder="0" applyAlignment="0" applyProtection="0"/>
    <xf numFmtId="0" fontId="178" fillId="42" borderId="0" applyNumberFormat="0" applyBorder="0" applyAlignment="0" applyProtection="0"/>
    <xf numFmtId="0" fontId="179" fillId="43" borderId="0" applyNumberFormat="0" applyBorder="0" applyAlignment="0" applyProtection="0"/>
    <xf numFmtId="0" fontId="180" fillId="45" borderId="51" applyNumberFormat="0" applyAlignment="0" applyProtection="0"/>
    <xf numFmtId="0" fontId="181" fillId="46" borderId="52" applyNumberFormat="0" applyAlignment="0" applyProtection="0"/>
    <xf numFmtId="0" fontId="182" fillId="46" borderId="51" applyNumberFormat="0" applyAlignment="0" applyProtection="0"/>
    <xf numFmtId="0" fontId="183" fillId="0" borderId="53" applyNumberFormat="0" applyFill="0" applyAlignment="0" applyProtection="0"/>
    <xf numFmtId="0" fontId="184" fillId="47" borderId="54" applyNumberFormat="0" applyAlignment="0" applyProtection="0"/>
    <xf numFmtId="0" fontId="185" fillId="0" borderId="0" applyNumberFormat="0" applyFill="0" applyBorder="0" applyAlignment="0" applyProtection="0"/>
    <xf numFmtId="0" fontId="1" fillId="48" borderId="55" applyNumberFormat="0" applyFont="0" applyAlignment="0" applyProtection="0"/>
    <xf numFmtId="0" fontId="186" fillId="0" borderId="0" applyNumberFormat="0" applyFill="0" applyBorder="0" applyAlignment="0" applyProtection="0"/>
    <xf numFmtId="0" fontId="159" fillId="0" borderId="56" applyNumberFormat="0" applyFill="0" applyAlignment="0" applyProtection="0"/>
    <xf numFmtId="0" fontId="187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87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87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87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87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87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63" fillId="0" borderId="0"/>
    <xf numFmtId="0" fontId="188" fillId="44" borderId="0" applyNumberFormat="0" applyBorder="0" applyAlignment="0" applyProtection="0"/>
    <xf numFmtId="0" fontId="63" fillId="0" borderId="0"/>
    <xf numFmtId="0" fontId="1" fillId="52" borderId="0" applyNumberFormat="0" applyBorder="0" applyAlignment="0" applyProtection="0"/>
    <xf numFmtId="0" fontId="1" fillId="56" borderId="0" applyNumberFormat="0" applyBorder="0" applyAlignment="0" applyProtection="0"/>
    <xf numFmtId="0" fontId="1" fillId="60" borderId="0" applyNumberFormat="0" applyBorder="0" applyAlignment="0" applyProtection="0"/>
    <xf numFmtId="0" fontId="1" fillId="64" borderId="0" applyNumberFormat="0" applyBorder="0" applyAlignment="0" applyProtection="0"/>
    <xf numFmtId="0" fontId="1" fillId="68" borderId="0" applyNumberFormat="0" applyBorder="0" applyAlignment="0" applyProtection="0"/>
    <xf numFmtId="0" fontId="1" fillId="72" borderId="0" applyNumberFormat="0" applyBorder="0" applyAlignment="0" applyProtection="0"/>
    <xf numFmtId="43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1" fillId="0" borderId="0"/>
    <xf numFmtId="9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0" fontId="1" fillId="0" borderId="0"/>
    <xf numFmtId="9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9" fontId="63" fillId="0" borderId="0" applyFont="0" applyFill="0" applyBorder="0" applyAlignment="0" applyProtection="0"/>
  </cellStyleXfs>
  <cellXfs count="812">
    <xf numFmtId="0" fontId="0" fillId="0" borderId="0" xfId="0"/>
    <xf numFmtId="0" fontId="2" fillId="0" borderId="0" xfId="1"/>
    <xf numFmtId="37" fontId="3" fillId="0" borderId="1" xfId="1" applyNumberFormat="1" applyFont="1" applyBorder="1"/>
    <xf numFmtId="0" fontId="3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3" fillId="0" borderId="0" xfId="177" applyFont="1"/>
    <xf numFmtId="0" fontId="3" fillId="0" borderId="1" xfId="177" applyFont="1" applyBorder="1"/>
    <xf numFmtId="37" fontId="3" fillId="0" borderId="1" xfId="177" applyNumberFormat="1" applyFont="1" applyBorder="1"/>
    <xf numFmtId="0" fontId="4" fillId="0" borderId="0" xfId="177" applyFont="1"/>
    <xf numFmtId="0" fontId="3" fillId="0" borderId="3" xfId="177" applyFont="1" applyBorder="1"/>
    <xf numFmtId="0" fontId="3" fillId="2" borderId="0" xfId="177" applyFont="1" applyFill="1"/>
    <xf numFmtId="0" fontId="3" fillId="3" borderId="0" xfId="177" applyFont="1" applyFill="1"/>
    <xf numFmtId="43" fontId="3" fillId="3" borderId="0" xfId="177" applyNumberFormat="1" applyFont="1" applyFill="1"/>
    <xf numFmtId="0" fontId="85" fillId="2" borderId="3" xfId="177" applyFont="1" applyFill="1" applyBorder="1"/>
    <xf numFmtId="0" fontId="3" fillId="2" borderId="3" xfId="177" applyFont="1" applyFill="1" applyBorder="1"/>
    <xf numFmtId="0" fontId="85" fillId="3" borderId="0" xfId="177" applyFont="1" applyFill="1"/>
    <xf numFmtId="39" fontId="3" fillId="0" borderId="1" xfId="177" applyNumberFormat="1" applyFont="1" applyBorder="1"/>
    <xf numFmtId="213" fontId="7" fillId="0" borderId="0" xfId="312" applyFont="1" applyAlignment="1" applyProtection="1">
      <alignment horizontal="left"/>
      <protection locked="0"/>
    </xf>
    <xf numFmtId="213" fontId="6" fillId="0" borderId="0" xfId="312" applyFont="1" applyProtection="1">
      <protection locked="0"/>
    </xf>
    <xf numFmtId="213" fontId="5" fillId="0" borderId="0" xfId="312" applyFont="1" applyProtection="1">
      <protection locked="0"/>
    </xf>
    <xf numFmtId="0" fontId="11" fillId="0" borderId="0" xfId="313"/>
    <xf numFmtId="0" fontId="86" fillId="0" borderId="0" xfId="179" applyFont="1" applyAlignment="1">
      <alignment horizontal="left" vertical="center"/>
    </xf>
    <xf numFmtId="213" fontId="87" fillId="0" borderId="0" xfId="152" applyNumberFormat="1" applyFont="1" applyFill="1" applyBorder="1" applyProtection="1">
      <protection locked="0"/>
    </xf>
    <xf numFmtId="213" fontId="5" fillId="0" borderId="0" xfId="312" applyFont="1" applyAlignment="1" applyProtection="1">
      <alignment horizontal="right"/>
      <protection locked="0"/>
    </xf>
    <xf numFmtId="213" fontId="36" fillId="0" borderId="0" xfId="312"/>
    <xf numFmtId="213" fontId="59" fillId="0" borderId="0" xfId="312" applyFont="1" applyProtection="1">
      <protection locked="0"/>
    </xf>
    <xf numFmtId="213" fontId="60" fillId="0" borderId="28" xfId="312" applyFont="1" applyBorder="1"/>
    <xf numFmtId="38" fontId="88" fillId="27" borderId="0" xfId="312" applyNumberFormat="1" applyFont="1" applyFill="1" applyAlignment="1" applyProtection="1">
      <alignment horizontal="left"/>
      <protection locked="0"/>
    </xf>
    <xf numFmtId="213" fontId="6" fillId="0" borderId="29" xfId="312" applyFont="1" applyBorder="1"/>
    <xf numFmtId="213" fontId="88" fillId="0" borderId="0" xfId="312" applyFont="1" applyAlignment="1" applyProtection="1">
      <alignment horizontal="right"/>
      <protection locked="0"/>
    </xf>
    <xf numFmtId="199" fontId="7" fillId="0" borderId="0" xfId="315" applyFont="1"/>
    <xf numFmtId="199" fontId="13" fillId="0" borderId="0" xfId="315" applyFont="1"/>
    <xf numFmtId="8" fontId="88" fillId="27" borderId="0" xfId="316" applyFont="1" applyFill="1" applyBorder="1" applyAlignment="1" applyProtection="1">
      <alignment horizontal="right"/>
      <protection locked="0"/>
    </xf>
    <xf numFmtId="213" fontId="5" fillId="0" borderId="29" xfId="312" applyFont="1" applyBorder="1"/>
    <xf numFmtId="38" fontId="88" fillId="27" borderId="0" xfId="312" applyNumberFormat="1" applyFont="1" applyFill="1" applyAlignment="1" applyProtection="1">
      <alignment horizontal="right"/>
      <protection locked="0"/>
    </xf>
    <xf numFmtId="0" fontId="86" fillId="0" borderId="0" xfId="185" applyFont="1" applyAlignment="1">
      <alignment horizontal="center"/>
    </xf>
    <xf numFmtId="0" fontId="7" fillId="0" borderId="0" xfId="315" applyNumberFormat="1" applyFont="1"/>
    <xf numFmtId="0" fontId="90" fillId="0" borderId="29" xfId="312" applyNumberFormat="1" applyFont="1" applyBorder="1"/>
    <xf numFmtId="213" fontId="90" fillId="0" borderId="29" xfId="312" applyFont="1" applyBorder="1"/>
    <xf numFmtId="213" fontId="86" fillId="0" borderId="29" xfId="191" applyNumberFormat="1" applyFont="1" applyBorder="1" applyAlignment="1">
      <alignment horizontal="center"/>
    </xf>
    <xf numFmtId="213" fontId="86" fillId="0" borderId="8" xfId="191" applyNumberFormat="1" applyFont="1" applyBorder="1" applyAlignment="1">
      <alignment horizontal="center"/>
    </xf>
    <xf numFmtId="199" fontId="7" fillId="0" borderId="0" xfId="315" quotePrefix="1" applyFont="1" applyAlignment="1">
      <alignment horizontal="left" wrapText="1"/>
    </xf>
    <xf numFmtId="213" fontId="90" fillId="29" borderId="30" xfId="312" applyFont="1" applyFill="1" applyBorder="1" applyAlignment="1">
      <alignment horizontal="center"/>
    </xf>
    <xf numFmtId="0" fontId="86" fillId="0" borderId="29" xfId="191" applyFont="1" applyBorder="1" applyAlignment="1">
      <alignment horizontal="center"/>
    </xf>
    <xf numFmtId="0" fontId="86" fillId="0" borderId="8" xfId="191" applyFont="1" applyBorder="1" applyAlignment="1">
      <alignment horizontal="center"/>
    </xf>
    <xf numFmtId="199" fontId="7" fillId="20" borderId="29" xfId="315" applyFont="1" applyFill="1" applyBorder="1" applyAlignment="1">
      <alignment horizontal="center"/>
    </xf>
    <xf numFmtId="199" fontId="7" fillId="20" borderId="8" xfId="315" applyFont="1" applyFill="1" applyBorder="1" applyAlignment="1">
      <alignment horizontal="center"/>
    </xf>
    <xf numFmtId="17" fontId="13" fillId="0" borderId="0" xfId="315" applyNumberFormat="1" applyFont="1"/>
    <xf numFmtId="17" fontId="7" fillId="0" borderId="0" xfId="315" applyNumberFormat="1" applyFont="1" applyAlignment="1">
      <alignment horizontal="left" wrapText="1"/>
    </xf>
    <xf numFmtId="17" fontId="90" fillId="0" borderId="29" xfId="312" applyNumberFormat="1" applyFont="1" applyBorder="1"/>
    <xf numFmtId="1" fontId="86" fillId="0" borderId="31" xfId="191" applyNumberFormat="1" applyFont="1" applyBorder="1" applyAlignment="1">
      <alignment horizontal="center"/>
    </xf>
    <xf numFmtId="1" fontId="86" fillId="0" borderId="32" xfId="191" applyNumberFormat="1" applyFont="1" applyBorder="1" applyAlignment="1">
      <alignment horizontal="center"/>
    </xf>
    <xf numFmtId="199" fontId="91" fillId="0" borderId="0" xfId="315" applyFont="1"/>
    <xf numFmtId="213" fontId="60" fillId="30" borderId="0" xfId="312" applyFont="1" applyFill="1" applyAlignment="1">
      <alignment horizontal="left"/>
    </xf>
    <xf numFmtId="213" fontId="90" fillId="30" borderId="29" xfId="312" applyFont="1" applyFill="1" applyBorder="1"/>
    <xf numFmtId="166" fontId="91" fillId="30" borderId="0" xfId="315" applyNumberFormat="1" applyFont="1" applyFill="1" applyAlignment="1">
      <alignment horizontal="right"/>
    </xf>
    <xf numFmtId="0" fontId="58" fillId="32" borderId="34" xfId="313" applyFont="1" applyFill="1" applyBorder="1" applyAlignment="1">
      <alignment horizontal="left" indent="1"/>
    </xf>
    <xf numFmtId="0" fontId="92" fillId="0" borderId="25" xfId="313" applyFont="1" applyBorder="1"/>
    <xf numFmtId="3" fontId="93" fillId="0" borderId="34" xfId="313" applyNumberFormat="1" applyFont="1" applyBorder="1" applyAlignment="1">
      <alignment horizontal="center"/>
    </xf>
    <xf numFmtId="199" fontId="58" fillId="32" borderId="35" xfId="315" applyFont="1" applyFill="1" applyBorder="1" applyAlignment="1">
      <alignment horizontal="left" indent="2"/>
    </xf>
    <xf numFmtId="213" fontId="91" fillId="33" borderId="31" xfId="312" applyFont="1" applyFill="1" applyBorder="1"/>
    <xf numFmtId="0" fontId="93" fillId="0" borderId="0" xfId="313" applyFont="1"/>
    <xf numFmtId="0" fontId="58" fillId="32" borderId="0" xfId="313" applyFont="1" applyFill="1" applyAlignment="1">
      <alignment horizontal="left" indent="1"/>
    </xf>
    <xf numFmtId="0" fontId="92" fillId="20" borderId="0" xfId="313" applyFont="1" applyFill="1"/>
    <xf numFmtId="215" fontId="93" fillId="0" borderId="24" xfId="313" applyNumberFormat="1" applyFont="1" applyBorder="1"/>
    <xf numFmtId="199" fontId="58" fillId="32" borderId="0" xfId="315" applyFont="1" applyFill="1" applyAlignment="1">
      <alignment horizontal="left" indent="2"/>
    </xf>
    <xf numFmtId="213" fontId="91" fillId="33" borderId="29" xfId="312" applyFont="1" applyFill="1" applyBorder="1"/>
    <xf numFmtId="0" fontId="92" fillId="0" borderId="34" xfId="313" applyFont="1" applyBorder="1" applyAlignment="1">
      <alignment horizontal="left" indent="1"/>
    </xf>
    <xf numFmtId="0" fontId="93" fillId="0" borderId="34" xfId="313" applyFont="1" applyBorder="1"/>
    <xf numFmtId="0" fontId="93" fillId="0" borderId="25" xfId="313" applyFont="1" applyBorder="1"/>
    <xf numFmtId="0" fontId="93" fillId="0" borderId="33" xfId="313" applyFont="1" applyBorder="1"/>
    <xf numFmtId="0" fontId="92" fillId="20" borderId="0" xfId="313" applyFont="1" applyFill="1" applyAlignment="1">
      <alignment horizontal="left" indent="1"/>
    </xf>
    <xf numFmtId="0" fontId="93" fillId="0" borderId="24" xfId="313" applyFont="1" applyBorder="1"/>
    <xf numFmtId="0" fontId="93" fillId="0" borderId="8" xfId="313" applyFont="1" applyBorder="1"/>
    <xf numFmtId="0" fontId="92" fillId="20" borderId="34" xfId="313" applyFont="1" applyFill="1" applyBorder="1" applyAlignment="1">
      <alignment horizontal="left" indent="1"/>
    </xf>
    <xf numFmtId="0" fontId="92" fillId="20" borderId="25" xfId="313" applyFont="1" applyFill="1" applyBorder="1"/>
    <xf numFmtId="199" fontId="94" fillId="0" borderId="0" xfId="315" applyFont="1"/>
    <xf numFmtId="199" fontId="13" fillId="0" borderId="0" xfId="315" applyFont="1" applyAlignment="1">
      <alignment horizontal="right"/>
    </xf>
    <xf numFmtId="0" fontId="95" fillId="0" borderId="1" xfId="1" applyFont="1" applyBorder="1"/>
    <xf numFmtId="0" fontId="2" fillId="0" borderId="1" xfId="1" applyBorder="1"/>
    <xf numFmtId="0" fontId="96" fillId="0" borderId="0" xfId="1" applyFont="1"/>
    <xf numFmtId="39" fontId="98" fillId="0" borderId="0" xfId="1" applyNumberFormat="1" applyFont="1"/>
    <xf numFmtId="164" fontId="3" fillId="0" borderId="0" xfId="1" applyNumberFormat="1" applyFont="1"/>
    <xf numFmtId="165" fontId="2" fillId="28" borderId="8" xfId="314" applyNumberFormat="1" applyFont="1" applyFill="1" applyBorder="1" applyProtection="1"/>
    <xf numFmtId="199" fontId="2" fillId="0" borderId="0" xfId="315" applyFont="1"/>
    <xf numFmtId="0" fontId="2" fillId="0" borderId="0" xfId="315" applyNumberFormat="1" applyFont="1" applyAlignment="1">
      <alignment horizontal="right"/>
    </xf>
    <xf numFmtId="199" fontId="2" fillId="0" borderId="0" xfId="315" applyFont="1" applyAlignment="1">
      <alignment horizontal="right"/>
    </xf>
    <xf numFmtId="17" fontId="2" fillId="0" borderId="0" xfId="314" applyNumberFormat="1" applyFont="1" applyFill="1" applyBorder="1" applyAlignment="1" applyProtection="1">
      <alignment horizontal="right"/>
    </xf>
    <xf numFmtId="214" fontId="2" fillId="31" borderId="33" xfId="314" applyNumberFormat="1" applyFont="1" applyFill="1" applyBorder="1" applyProtection="1"/>
    <xf numFmtId="214" fontId="2" fillId="31" borderId="28" xfId="314" applyNumberFormat="1" applyFont="1" applyFill="1" applyBorder="1" applyAlignment="1" applyProtection="1">
      <alignment horizontal="center"/>
    </xf>
    <xf numFmtId="214" fontId="2" fillId="27" borderId="28" xfId="314" applyNumberFormat="1" applyFont="1" applyFill="1" applyBorder="1" applyProtection="1"/>
    <xf numFmtId="213" fontId="2" fillId="0" borderId="28" xfId="312" applyFont="1" applyBorder="1"/>
    <xf numFmtId="165" fontId="2" fillId="0" borderId="7" xfId="314" applyNumberFormat="1" applyFont="1" applyFill="1" applyBorder="1" applyAlignment="1" applyProtection="1">
      <alignment horizontal="right"/>
    </xf>
    <xf numFmtId="165" fontId="2" fillId="28" borderId="7" xfId="314" applyNumberFormat="1" applyFont="1" applyFill="1" applyBorder="1" applyProtection="1"/>
    <xf numFmtId="165" fontId="2" fillId="28" borderId="32" xfId="314" applyNumberFormat="1" applyFont="1" applyFill="1" applyBorder="1" applyProtection="1"/>
    <xf numFmtId="165" fontId="2" fillId="28" borderId="0" xfId="314" applyNumberFormat="1" applyFont="1" applyFill="1" applyBorder="1" applyProtection="1"/>
    <xf numFmtId="213" fontId="2" fillId="20" borderId="29" xfId="312" applyFont="1" applyFill="1" applyBorder="1"/>
    <xf numFmtId="165" fontId="2" fillId="20" borderId="0" xfId="314" applyNumberFormat="1" applyFont="1" applyFill="1" applyBorder="1" applyAlignment="1" applyProtection="1">
      <alignment horizontal="right"/>
    </xf>
    <xf numFmtId="165" fontId="2" fillId="28" borderId="24" xfId="314" applyNumberFormat="1" applyFont="1" applyFill="1" applyBorder="1" applyProtection="1"/>
    <xf numFmtId="199" fontId="2" fillId="0" borderId="35" xfId="315" applyFont="1" applyBorder="1" applyAlignment="1">
      <alignment horizontal="left" indent="2"/>
    </xf>
    <xf numFmtId="165" fontId="2" fillId="28" borderId="35" xfId="314" applyNumberFormat="1" applyFont="1" applyFill="1" applyBorder="1" applyProtection="1"/>
    <xf numFmtId="199" fontId="2" fillId="20" borderId="0" xfId="315" applyFont="1" applyFill="1" applyAlignment="1">
      <alignment horizontal="left" indent="2"/>
    </xf>
    <xf numFmtId="213" fontId="2" fillId="20" borderId="28" xfId="312" applyFont="1" applyFill="1" applyBorder="1"/>
    <xf numFmtId="199" fontId="2" fillId="20" borderId="35" xfId="315" applyFont="1" applyFill="1" applyBorder="1" applyAlignment="1">
      <alignment horizontal="left" indent="1"/>
    </xf>
    <xf numFmtId="165" fontId="2" fillId="20" borderId="7" xfId="314" applyNumberFormat="1" applyFont="1" applyFill="1" applyBorder="1" applyAlignment="1" applyProtection="1">
      <alignment horizontal="right"/>
    </xf>
    <xf numFmtId="216" fontId="2" fillId="0" borderId="0" xfId="315" applyNumberFormat="1" applyFont="1" applyAlignment="1">
      <alignment horizontal="right"/>
    </xf>
    <xf numFmtId="213" fontId="99" fillId="29" borderId="29" xfId="319" applyNumberFormat="1" applyFill="1" applyBorder="1" applyAlignment="1" applyProtection="1">
      <alignment horizontal="center"/>
    </xf>
    <xf numFmtId="0" fontId="100" fillId="0" borderId="8" xfId="191" applyFont="1" applyBorder="1" applyAlignment="1">
      <alignment horizontal="center"/>
    </xf>
    <xf numFmtId="0" fontId="100" fillId="0" borderId="29" xfId="191" applyFont="1" applyBorder="1" applyAlignment="1">
      <alignment horizontal="center"/>
    </xf>
    <xf numFmtId="164" fontId="3" fillId="0" borderId="1" xfId="177" applyNumberFormat="1" applyFont="1" applyBorder="1"/>
    <xf numFmtId="0" fontId="97" fillId="0" borderId="0" xfId="1" applyFont="1"/>
    <xf numFmtId="0" fontId="101" fillId="0" borderId="0" xfId="1" applyFont="1" applyAlignment="1">
      <alignment horizontal="center"/>
    </xf>
    <xf numFmtId="217" fontId="3" fillId="0" borderId="0" xfId="1" applyNumberFormat="1" applyFont="1" applyAlignment="1">
      <alignment wrapText="1"/>
    </xf>
    <xf numFmtId="0" fontId="3" fillId="0" borderId="0" xfId="1" applyFont="1" applyAlignment="1">
      <alignment wrapText="1"/>
    </xf>
    <xf numFmtId="0" fontId="2" fillId="0" borderId="0" xfId="1" applyAlignment="1">
      <alignment wrapText="1"/>
    </xf>
    <xf numFmtId="0" fontId="7" fillId="0" borderId="0" xfId="1" applyFont="1" applyAlignment="1">
      <alignment wrapText="1"/>
    </xf>
    <xf numFmtId="0" fontId="101" fillId="0" borderId="0" xfId="1" applyFont="1" applyAlignment="1">
      <alignment horizontal="left" wrapText="1"/>
    </xf>
    <xf numFmtId="0" fontId="5" fillId="0" borderId="0" xfId="1" applyFont="1" applyAlignment="1">
      <alignment wrapText="1"/>
    </xf>
    <xf numFmtId="0" fontId="6" fillId="0" borderId="0" xfId="1" applyFont="1" applyAlignment="1">
      <alignment wrapText="1"/>
    </xf>
    <xf numFmtId="0" fontId="97" fillId="0" borderId="0" xfId="320"/>
    <xf numFmtId="0" fontId="104" fillId="2" borderId="4" xfId="320" applyFont="1" applyFill="1" applyBorder="1" applyAlignment="1" applyProtection="1">
      <alignment horizontal="left"/>
    </xf>
    <xf numFmtId="0" fontId="105" fillId="0" borderId="0" xfId="320" applyFont="1" applyProtection="1"/>
    <xf numFmtId="0" fontId="101" fillId="0" borderId="0" xfId="320" applyFont="1"/>
    <xf numFmtId="0" fontId="104" fillId="2" borderId="4" xfId="320" applyFont="1" applyFill="1" applyBorder="1" applyProtection="1"/>
    <xf numFmtId="0" fontId="5" fillId="0" borderId="0" xfId="321"/>
    <xf numFmtId="0" fontId="104" fillId="0" borderId="36" xfId="321" quotePrefix="1" applyFont="1" applyBorder="1" applyAlignment="1">
      <alignment horizontal="left"/>
    </xf>
    <xf numFmtId="0" fontId="97" fillId="0" borderId="0" xfId="317"/>
    <xf numFmtId="211" fontId="107" fillId="0" borderId="0" xfId="2" applyNumberFormat="1" applyFont="1" applyFill="1" applyBorder="1" applyAlignment="1">
      <alignment horizontal="left"/>
    </xf>
    <xf numFmtId="0" fontId="106" fillId="0" borderId="0" xfId="317" applyFont="1" applyAlignment="1">
      <alignment horizontal="centerContinuous"/>
    </xf>
    <xf numFmtId="7" fontId="106" fillId="0" borderId="0" xfId="317" applyNumberFormat="1" applyFont="1" applyAlignment="1">
      <alignment horizontal="centerContinuous"/>
    </xf>
    <xf numFmtId="0" fontId="106" fillId="0" borderId="0" xfId="317" applyFont="1" applyAlignment="1">
      <alignment horizontal="center"/>
    </xf>
    <xf numFmtId="0" fontId="106" fillId="0" borderId="0" xfId="317" applyFont="1"/>
    <xf numFmtId="0" fontId="106" fillId="0" borderId="0" xfId="317" applyFont="1" applyAlignment="1" applyProtection="1">
      <alignment horizontal="center"/>
      <protection locked="0"/>
    </xf>
    <xf numFmtId="17" fontId="106" fillId="0" borderId="0" xfId="317" applyNumberFormat="1" applyFont="1" applyAlignment="1">
      <alignment horizontal="center"/>
    </xf>
    <xf numFmtId="0" fontId="6" fillId="0" borderId="0" xfId="321" applyFont="1"/>
    <xf numFmtId="0" fontId="109" fillId="0" borderId="0" xfId="321" applyFont="1"/>
    <xf numFmtId="211" fontId="5" fillId="0" borderId="0" xfId="2" applyNumberFormat="1" applyFill="1" applyBorder="1"/>
    <xf numFmtId="167" fontId="5" fillId="0" borderId="0" xfId="207" applyNumberFormat="1" applyBorder="1"/>
    <xf numFmtId="0" fontId="110" fillId="0" borderId="0" xfId="321" applyFont="1"/>
    <xf numFmtId="9" fontId="5" fillId="0" borderId="0" xfId="207" applyBorder="1"/>
    <xf numFmtId="211" fontId="5" fillId="0" borderId="0" xfId="2" applyNumberFormat="1" applyBorder="1"/>
    <xf numFmtId="167" fontId="5" fillId="0" borderId="0" xfId="207" applyNumberFormat="1" applyFill="1" applyBorder="1"/>
    <xf numFmtId="0" fontId="105" fillId="0" borderId="0" xfId="321" applyFont="1"/>
    <xf numFmtId="37" fontId="5" fillId="0" borderId="0" xfId="2" applyNumberFormat="1" applyBorder="1"/>
    <xf numFmtId="164" fontId="5" fillId="0" borderId="0" xfId="2" applyNumberFormat="1" applyBorder="1"/>
    <xf numFmtId="165" fontId="5" fillId="0" borderId="0" xfId="2" applyNumberFormat="1" applyBorder="1"/>
    <xf numFmtId="38" fontId="5" fillId="0" borderId="0" xfId="321" applyNumberFormat="1"/>
    <xf numFmtId="9" fontId="5" fillId="0" borderId="0" xfId="321" applyNumberFormat="1"/>
    <xf numFmtId="0" fontId="150" fillId="0" borderId="0" xfId="321" applyFont="1"/>
    <xf numFmtId="0" fontId="151" fillId="0" borderId="0" xfId="321" applyFont="1"/>
    <xf numFmtId="0" fontId="152" fillId="0" borderId="0" xfId="321" applyFont="1"/>
    <xf numFmtId="211" fontId="150" fillId="0" borderId="0" xfId="2" applyNumberFormat="1" applyFont="1" applyFill="1"/>
    <xf numFmtId="211" fontId="150" fillId="0" borderId="0" xfId="2" applyNumberFormat="1" applyFont="1"/>
    <xf numFmtId="0" fontId="151" fillId="0" borderId="0" xfId="321" applyFont="1" applyAlignment="1">
      <alignment horizontal="right"/>
    </xf>
    <xf numFmtId="0" fontId="152" fillId="0" borderId="0" xfId="321" applyFont="1" applyAlignment="1">
      <alignment horizontal="right"/>
    </xf>
    <xf numFmtId="165" fontId="150" fillId="0" borderId="0" xfId="2" applyNumberFormat="1" applyFont="1" applyFill="1"/>
    <xf numFmtId="167" fontId="150" fillId="0" borderId="0" xfId="207" applyNumberFormat="1" applyFont="1"/>
    <xf numFmtId="0" fontId="153" fillId="0" borderId="0" xfId="321" applyFont="1"/>
    <xf numFmtId="0" fontId="153" fillId="0" borderId="0" xfId="321" applyFont="1" applyAlignment="1">
      <alignment horizontal="right"/>
    </xf>
    <xf numFmtId="9" fontId="150" fillId="0" borderId="0" xfId="207" applyFont="1"/>
    <xf numFmtId="164" fontId="150" fillId="0" borderId="0" xfId="2" applyNumberFormat="1" applyFont="1"/>
    <xf numFmtId="0" fontId="150" fillId="0" borderId="4" xfId="321" applyFont="1" applyBorder="1"/>
    <xf numFmtId="38" fontId="150" fillId="0" borderId="0" xfId="321" applyNumberFormat="1" applyFont="1"/>
    <xf numFmtId="0" fontId="155" fillId="0" borderId="1" xfId="1" applyFont="1" applyBorder="1"/>
    <xf numFmtId="0" fontId="150" fillId="0" borderId="0" xfId="1" applyFont="1"/>
    <xf numFmtId="0" fontId="151" fillId="0" borderId="4" xfId="1" applyFont="1" applyBorder="1" applyAlignment="1">
      <alignment horizontal="center"/>
    </xf>
    <xf numFmtId="0" fontId="151" fillId="0" borderId="0" xfId="1" applyFont="1" applyAlignment="1">
      <alignment horizontal="center"/>
    </xf>
    <xf numFmtId="167" fontId="151" fillId="0" borderId="0" xfId="207" applyNumberFormat="1" applyFont="1" applyAlignment="1">
      <alignment horizontal="center"/>
    </xf>
    <xf numFmtId="0" fontId="151" fillId="0" borderId="0" xfId="1" applyFont="1"/>
    <xf numFmtId="167" fontId="150" fillId="0" borderId="0" xfId="207" applyNumberFormat="1" applyFont="1" applyProtection="1"/>
    <xf numFmtId="212" fontId="151" fillId="0" borderId="0" xfId="2" applyNumberFormat="1" applyFont="1" applyAlignment="1">
      <alignment horizontal="center"/>
    </xf>
    <xf numFmtId="43" fontId="150" fillId="0" borderId="0" xfId="2" applyFont="1"/>
    <xf numFmtId="212" fontId="150" fillId="0" borderId="0" xfId="1" applyNumberFormat="1" applyFont="1" applyAlignment="1">
      <alignment horizontal="right"/>
    </xf>
    <xf numFmtId="0" fontId="150" fillId="0" borderId="0" xfId="1" applyFont="1" applyAlignment="1">
      <alignment horizontal="left"/>
    </xf>
    <xf numFmtId="167" fontId="151" fillId="0" borderId="0" xfId="1" applyNumberFormat="1" applyFont="1"/>
    <xf numFmtId="167" fontId="156" fillId="0" borderId="0" xfId="207" applyNumberFormat="1" applyFont="1" applyProtection="1"/>
    <xf numFmtId="211" fontId="150" fillId="0" borderId="0" xfId="2" applyNumberFormat="1" applyFont="1" applyProtection="1"/>
    <xf numFmtId="37" fontId="151" fillId="0" borderId="0" xfId="1" applyNumberFormat="1" applyFont="1"/>
    <xf numFmtId="167" fontId="151" fillId="0" borderId="0" xfId="207" applyNumberFormat="1" applyFont="1" applyProtection="1"/>
    <xf numFmtId="37" fontId="151" fillId="0" borderId="0" xfId="177" applyNumberFormat="1" applyFont="1"/>
    <xf numFmtId="37" fontId="150" fillId="0" borderId="0" xfId="1" applyNumberFormat="1" applyFont="1"/>
    <xf numFmtId="164" fontId="150" fillId="0" borderId="0" xfId="1" applyNumberFormat="1" applyFont="1"/>
    <xf numFmtId="0" fontId="153" fillId="0" borderId="0" xfId="1" applyFont="1" applyAlignment="1">
      <alignment horizontal="left"/>
    </xf>
    <xf numFmtId="167" fontId="153" fillId="0" borderId="0" xfId="177" applyNumberFormat="1" applyFont="1" applyAlignment="1">
      <alignment horizontal="right"/>
    </xf>
    <xf numFmtId="0" fontId="150" fillId="0" borderId="0" xfId="177" applyFont="1" applyAlignment="1">
      <alignment horizontal="left"/>
    </xf>
    <xf numFmtId="167" fontId="150" fillId="0" borderId="0" xfId="177" applyNumberFormat="1" applyFont="1"/>
    <xf numFmtId="37" fontId="150" fillId="0" borderId="0" xfId="1" applyNumberFormat="1" applyFont="1" applyAlignment="1">
      <alignment horizontal="right"/>
    </xf>
    <xf numFmtId="37" fontId="150" fillId="0" borderId="0" xfId="177" applyNumberFormat="1" applyFont="1" applyAlignment="1">
      <alignment horizontal="right"/>
    </xf>
    <xf numFmtId="0" fontId="151" fillId="0" borderId="0" xfId="1" applyFont="1" applyAlignment="1">
      <alignment horizontal="left"/>
    </xf>
    <xf numFmtId="167" fontId="150" fillId="0" borderId="0" xfId="177" applyNumberFormat="1" applyFont="1" applyAlignment="1">
      <alignment horizontal="right"/>
    </xf>
    <xf numFmtId="164" fontId="150" fillId="0" borderId="0" xfId="1" applyNumberFormat="1" applyFont="1" applyAlignment="1">
      <alignment horizontal="right"/>
    </xf>
    <xf numFmtId="0" fontId="150" fillId="0" borderId="0" xfId="1" applyFont="1" applyAlignment="1">
      <alignment horizontal="right"/>
    </xf>
    <xf numFmtId="7" fontId="151" fillId="0" borderId="0" xfId="1" applyNumberFormat="1" applyFont="1"/>
    <xf numFmtId="7" fontId="151" fillId="0" borderId="0" xfId="177" applyNumberFormat="1" applyFont="1"/>
    <xf numFmtId="7" fontId="150" fillId="0" borderId="0" xfId="2" applyNumberFormat="1" applyFont="1"/>
    <xf numFmtId="0" fontId="150" fillId="0" borderId="3" xfId="317" applyFont="1" applyBorder="1"/>
    <xf numFmtId="0" fontId="150" fillId="0" borderId="3" xfId="1" applyFont="1" applyBorder="1"/>
    <xf numFmtId="43" fontId="150" fillId="0" borderId="3" xfId="1" applyNumberFormat="1" applyFont="1" applyBorder="1"/>
    <xf numFmtId="43" fontId="150" fillId="0" borderId="4" xfId="1" applyNumberFormat="1" applyFont="1" applyBorder="1"/>
    <xf numFmtId="0" fontId="150" fillId="0" borderId="4" xfId="1" applyFont="1" applyBorder="1"/>
    <xf numFmtId="0" fontId="155" fillId="0" borderId="1" xfId="177" applyFont="1" applyBorder="1"/>
    <xf numFmtId="7" fontId="150" fillId="0" borderId="0" xfId="1" applyNumberFormat="1" applyFont="1"/>
    <xf numFmtId="7" fontId="150" fillId="0" borderId="0" xfId="94" applyNumberFormat="1" applyFont="1" applyFill="1" applyProtection="1"/>
    <xf numFmtId="165" fontId="150" fillId="0" borderId="0" xfId="2" applyNumberFormat="1" applyFont="1" applyFill="1" applyProtection="1"/>
    <xf numFmtId="0" fontId="150" fillId="0" borderId="0" xfId="177" applyFont="1"/>
    <xf numFmtId="9" fontId="150" fillId="0" borderId="0" xfId="177" applyNumberFormat="1" applyFont="1"/>
    <xf numFmtId="0" fontId="151" fillId="0" borderId="2" xfId="177" applyFont="1" applyBorder="1" applyAlignment="1">
      <alignment horizontal="centerContinuous"/>
    </xf>
    <xf numFmtId="7" fontId="151" fillId="0" borderId="2" xfId="177" applyNumberFormat="1" applyFont="1" applyBorder="1" applyAlignment="1">
      <alignment horizontal="centerContinuous"/>
    </xf>
    <xf numFmtId="0" fontId="150" fillId="0" borderId="2" xfId="177" applyFont="1" applyBorder="1" applyAlignment="1">
      <alignment horizontal="centerContinuous"/>
    </xf>
    <xf numFmtId="0" fontId="151" fillId="0" borderId="0" xfId="177" applyFont="1" applyAlignment="1">
      <alignment horizontal="center"/>
    </xf>
    <xf numFmtId="0" fontId="151" fillId="0" borderId="0" xfId="177" applyFont="1"/>
    <xf numFmtId="165" fontId="157" fillId="0" borderId="0" xfId="2" applyNumberFormat="1" applyFont="1"/>
    <xf numFmtId="0" fontId="150" fillId="0" borderId="0" xfId="177" applyFont="1" applyAlignment="1">
      <alignment horizontal="right"/>
    </xf>
    <xf numFmtId="0" fontId="153" fillId="0" borderId="0" xfId="177" applyFont="1" applyAlignment="1">
      <alignment horizontal="right"/>
    </xf>
    <xf numFmtId="37" fontId="150" fillId="0" borderId="0" xfId="177" applyNumberFormat="1" applyFont="1"/>
    <xf numFmtId="43" fontId="151" fillId="0" borderId="0" xfId="318" applyFont="1" applyProtection="1"/>
    <xf numFmtId="0" fontId="153" fillId="0" borderId="0" xfId="177" applyFont="1"/>
    <xf numFmtId="0" fontId="153" fillId="0" borderId="0" xfId="177" applyFont="1" applyAlignment="1">
      <alignment horizontal="left"/>
    </xf>
    <xf numFmtId="0" fontId="151" fillId="0" borderId="0" xfId="177" applyFont="1" applyAlignment="1">
      <alignment horizontal="left"/>
    </xf>
    <xf numFmtId="0" fontId="151" fillId="0" borderId="0" xfId="177" applyFont="1" applyAlignment="1">
      <alignment horizontal="right"/>
    </xf>
    <xf numFmtId="164" fontId="150" fillId="0" borderId="0" xfId="177" applyNumberFormat="1" applyFont="1" applyAlignment="1">
      <alignment horizontal="right"/>
    </xf>
    <xf numFmtId="167" fontId="156" fillId="0" borderId="0" xfId="177" applyNumberFormat="1" applyFont="1"/>
    <xf numFmtId="7" fontId="151" fillId="0" borderId="0" xfId="94" applyNumberFormat="1" applyFont="1" applyProtection="1"/>
    <xf numFmtId="7" fontId="150" fillId="0" borderId="0" xfId="177" applyNumberFormat="1" applyFont="1"/>
    <xf numFmtId="164" fontId="150" fillId="0" borderId="0" xfId="177" applyNumberFormat="1" applyFont="1"/>
    <xf numFmtId="37" fontId="150" fillId="0" borderId="0" xfId="2" applyNumberFormat="1" applyFont="1"/>
    <xf numFmtId="0" fontId="150" fillId="0" borderId="3" xfId="177" applyFont="1" applyBorder="1"/>
    <xf numFmtId="43" fontId="150" fillId="0" borderId="3" xfId="177" applyNumberFormat="1" applyFont="1" applyBorder="1"/>
    <xf numFmtId="39" fontId="150" fillId="0" borderId="0" xfId="177" applyNumberFormat="1" applyFont="1"/>
    <xf numFmtId="167" fontId="151" fillId="0" borderId="0" xfId="207" applyNumberFormat="1" applyFont="1" applyAlignment="1" applyProtection="1">
      <alignment horizontal="right"/>
    </xf>
    <xf numFmtId="167" fontId="150" fillId="0" borderId="0" xfId="207" applyNumberFormat="1" applyFont="1" applyAlignment="1" applyProtection="1">
      <alignment horizontal="right"/>
    </xf>
    <xf numFmtId="0" fontId="158" fillId="2" borderId="0" xfId="177" applyFont="1" applyFill="1"/>
    <xf numFmtId="10" fontId="153" fillId="0" borderId="0" xfId="177" applyNumberFormat="1" applyFont="1" applyAlignment="1">
      <alignment horizontal="right"/>
    </xf>
    <xf numFmtId="39" fontId="151" fillId="0" borderId="0" xfId="177" applyNumberFormat="1" applyFont="1"/>
    <xf numFmtId="0" fontId="96" fillId="2" borderId="0" xfId="177" applyFont="1" applyFill="1"/>
    <xf numFmtId="5" fontId="151" fillId="0" borderId="0" xfId="94" applyNumberFormat="1" applyFont="1" applyProtection="1"/>
    <xf numFmtId="5" fontId="150" fillId="0" borderId="0" xfId="177" applyNumberFormat="1" applyFont="1" applyAlignment="1">
      <alignment horizontal="right"/>
    </xf>
    <xf numFmtId="5" fontId="150" fillId="0" borderId="0" xfId="2" applyNumberFormat="1" applyFont="1" applyAlignment="1" applyProtection="1">
      <alignment horizontal="right"/>
    </xf>
    <xf numFmtId="5" fontId="3" fillId="0" borderId="0" xfId="177" applyNumberFormat="1" applyFont="1"/>
    <xf numFmtId="5" fontId="150" fillId="0" borderId="0" xfId="177" applyNumberFormat="1" applyFont="1"/>
    <xf numFmtId="5" fontId="151" fillId="0" borderId="0" xfId="177" applyNumberFormat="1" applyFont="1"/>
    <xf numFmtId="5" fontId="150" fillId="0" borderId="0" xfId="1" applyNumberFormat="1" applyFont="1"/>
    <xf numFmtId="37" fontId="157" fillId="0" borderId="0" xfId="1" applyNumberFormat="1" applyFont="1"/>
    <xf numFmtId="37" fontId="150" fillId="0" borderId="0" xfId="2" applyNumberFormat="1" applyFont="1" applyProtection="1"/>
    <xf numFmtId="37" fontId="151" fillId="0" borderId="0" xfId="94" applyNumberFormat="1" applyFont="1" applyProtection="1"/>
    <xf numFmtId="37" fontId="150" fillId="0" borderId="0" xfId="2" applyNumberFormat="1" applyFont="1" applyAlignment="1" applyProtection="1">
      <alignment horizontal="right"/>
    </xf>
    <xf numFmtId="5" fontId="97" fillId="0" borderId="0" xfId="320" applyNumberFormat="1"/>
    <xf numFmtId="37" fontId="154" fillId="0" borderId="0" xfId="177" applyNumberFormat="1" applyFont="1"/>
    <xf numFmtId="9" fontId="104" fillId="2" borderId="4" xfId="505" applyFont="1" applyFill="1" applyBorder="1" applyProtection="1"/>
    <xf numFmtId="9" fontId="104" fillId="2" borderId="4" xfId="505" quotePrefix="1" applyFont="1" applyFill="1" applyBorder="1" applyAlignment="1" applyProtection="1">
      <alignment horizontal="left"/>
    </xf>
    <xf numFmtId="9" fontId="106" fillId="0" borderId="0" xfId="505" applyFont="1" applyFill="1"/>
    <xf numFmtId="9" fontId="106" fillId="0" borderId="0" xfId="505" applyFont="1" applyFill="1" applyBorder="1"/>
    <xf numFmtId="9" fontId="106" fillId="0" borderId="0" xfId="505" applyFont="1" applyAlignment="1">
      <alignment horizontal="center"/>
    </xf>
    <xf numFmtId="9" fontId="107" fillId="0" borderId="0" xfId="505" applyFont="1" applyFill="1" applyAlignment="1">
      <alignment horizontal="center"/>
    </xf>
    <xf numFmtId="9" fontId="106" fillId="0" borderId="0" xfId="505" applyFont="1" applyFill="1" applyAlignment="1">
      <alignment horizontal="center"/>
    </xf>
    <xf numFmtId="9" fontId="151" fillId="0" borderId="2" xfId="505" applyFont="1" applyFill="1" applyBorder="1" applyAlignment="1">
      <alignment horizontal="centerContinuous"/>
    </xf>
    <xf numFmtId="9" fontId="150" fillId="0" borderId="2" xfId="505" applyFont="1" applyBorder="1" applyAlignment="1">
      <alignment horizontal="centerContinuous"/>
    </xf>
    <xf numFmtId="9" fontId="151" fillId="0" borderId="0" xfId="505" applyFont="1" applyAlignment="1">
      <alignment horizontal="center"/>
    </xf>
    <xf numFmtId="9" fontId="151" fillId="0" borderId="0" xfId="505" applyFont="1" applyBorder="1" applyAlignment="1">
      <alignment horizontal="center"/>
    </xf>
    <xf numFmtId="9" fontId="0" fillId="0" borderId="0" xfId="505" applyFont="1"/>
    <xf numFmtId="37" fontId="154" fillId="0" borderId="0" xfId="2" applyNumberFormat="1" applyFont="1"/>
    <xf numFmtId="0" fontId="155" fillId="0" borderId="0" xfId="320" quotePrefix="1" applyFont="1" applyAlignment="1" applyProtection="1">
      <alignment horizontal="left"/>
    </xf>
    <xf numFmtId="0" fontId="155" fillId="0" borderId="36" xfId="321" quotePrefix="1" applyFont="1" applyBorder="1" applyAlignment="1">
      <alignment horizontal="left"/>
    </xf>
    <xf numFmtId="0" fontId="160" fillId="0" borderId="0" xfId="321" applyFont="1"/>
    <xf numFmtId="211" fontId="150" fillId="0" borderId="0" xfId="2" applyNumberFormat="1" applyFont="1" applyFill="1" applyAlignment="1">
      <alignment horizontal="left"/>
    </xf>
    <xf numFmtId="0" fontId="151" fillId="0" borderId="0" xfId="317" applyFont="1" applyAlignment="1">
      <alignment horizontal="centerContinuous"/>
    </xf>
    <xf numFmtId="7" fontId="151" fillId="0" borderId="0" xfId="317" applyNumberFormat="1" applyFont="1" applyAlignment="1">
      <alignment horizontal="centerContinuous"/>
    </xf>
    <xf numFmtId="0" fontId="151" fillId="0" borderId="0" xfId="317" applyFont="1" applyAlignment="1">
      <alignment horizontal="center"/>
    </xf>
    <xf numFmtId="0" fontId="150" fillId="0" borderId="0" xfId="317" applyFont="1"/>
    <xf numFmtId="37" fontId="150" fillId="0" borderId="0" xfId="2" applyNumberFormat="1" applyFont="1" applyFill="1" applyAlignment="1" applyProtection="1">
      <alignment horizontal="right"/>
    </xf>
    <xf numFmtId="167" fontId="150" fillId="0" borderId="0" xfId="207" applyNumberFormat="1" applyFont="1" applyFill="1" applyAlignment="1" applyProtection="1">
      <alignment horizontal="right"/>
    </xf>
    <xf numFmtId="0" fontId="150" fillId="0" borderId="0" xfId="320" applyFont="1" applyProtection="1"/>
    <xf numFmtId="0" fontId="151" fillId="0" borderId="0" xfId="320" applyFont="1" applyProtection="1"/>
    <xf numFmtId="0" fontId="150" fillId="0" borderId="0" xfId="320" applyFont="1"/>
    <xf numFmtId="9" fontId="150" fillId="0" borderId="0" xfId="505" applyFont="1" applyFill="1" applyAlignment="1" applyProtection="1">
      <alignment horizontal="right"/>
    </xf>
    <xf numFmtId="5" fontId="150" fillId="0" borderId="0" xfId="320" applyNumberFormat="1" applyFont="1" applyProtection="1"/>
    <xf numFmtId="5" fontId="150" fillId="0" borderId="0" xfId="320" applyNumberFormat="1" applyFont="1"/>
    <xf numFmtId="37" fontId="154" fillId="0" borderId="0" xfId="505" applyNumberFormat="1" applyFont="1" applyProtection="1"/>
    <xf numFmtId="37" fontId="150" fillId="0" borderId="0" xfId="505" applyNumberFormat="1" applyFont="1" applyProtection="1"/>
    <xf numFmtId="9" fontId="156" fillId="0" borderId="0" xfId="505" applyFont="1" applyFill="1" applyAlignment="1" applyProtection="1">
      <alignment horizontal="right"/>
    </xf>
    <xf numFmtId="9" fontId="150" fillId="0" borderId="0" xfId="505" applyFont="1" applyProtection="1"/>
    <xf numFmtId="9" fontId="150" fillId="0" borderId="0" xfId="505" applyFont="1" applyAlignment="1" applyProtection="1">
      <alignment horizontal="right"/>
    </xf>
    <xf numFmtId="0" fontId="150" fillId="0" borderId="4" xfId="320" applyFont="1" applyBorder="1"/>
    <xf numFmtId="9" fontId="150" fillId="0" borderId="4" xfId="505" applyFont="1" applyBorder="1" applyAlignment="1" applyProtection="1">
      <alignment horizontal="right"/>
    </xf>
    <xf numFmtId="0" fontId="160" fillId="2" borderId="0" xfId="320" applyFont="1" applyFill="1"/>
    <xf numFmtId="9" fontId="160" fillId="2" borderId="0" xfId="505" applyFont="1" applyFill="1" applyAlignment="1" applyProtection="1">
      <alignment horizontal="right"/>
    </xf>
    <xf numFmtId="37" fontId="156" fillId="0" borderId="0" xfId="505" applyNumberFormat="1" applyFont="1" applyFill="1" applyAlignment="1" applyProtection="1">
      <alignment horizontal="right"/>
    </xf>
    <xf numFmtId="0" fontId="151" fillId="0" borderId="0" xfId="320" applyFont="1"/>
    <xf numFmtId="0" fontId="155" fillId="0" borderId="1" xfId="1" applyFont="1" applyBorder="1" applyAlignment="1">
      <alignment wrapText="1"/>
    </xf>
    <xf numFmtId="0" fontId="150" fillId="0" borderId="0" xfId="1" applyFont="1" applyAlignment="1">
      <alignment wrapText="1"/>
    </xf>
    <xf numFmtId="0" fontId="151" fillId="0" borderId="0" xfId="1" applyFont="1" applyAlignment="1">
      <alignment wrapText="1"/>
    </xf>
    <xf numFmtId="0" fontId="150" fillId="0" borderId="0" xfId="1" applyFont="1" applyAlignment="1">
      <alignment horizontal="left" wrapText="1"/>
    </xf>
    <xf numFmtId="0" fontId="157" fillId="0" borderId="0" xfId="1" applyFont="1"/>
    <xf numFmtId="0" fontId="151" fillId="0" borderId="0" xfId="1" applyFont="1" applyAlignment="1">
      <alignment horizontal="left" wrapText="1"/>
    </xf>
    <xf numFmtId="0" fontId="151" fillId="0" borderId="0" xfId="1" applyFont="1" applyAlignment="1">
      <alignment horizontal="right"/>
    </xf>
    <xf numFmtId="164" fontId="154" fillId="0" borderId="0" xfId="1" applyNumberFormat="1" applyFont="1"/>
    <xf numFmtId="37" fontId="150" fillId="0" borderId="4" xfId="2" applyNumberFormat="1" applyFont="1" applyBorder="1"/>
    <xf numFmtId="37" fontId="150" fillId="0" borderId="0" xfId="94" applyNumberFormat="1" applyFont="1" applyProtection="1"/>
    <xf numFmtId="37" fontId="151" fillId="0" borderId="0" xfId="2" applyNumberFormat="1" applyFont="1" applyProtection="1"/>
    <xf numFmtId="5" fontId="150" fillId="0" borderId="0" xfId="94" applyNumberFormat="1" applyFont="1" applyProtection="1"/>
    <xf numFmtId="5" fontId="150" fillId="0" borderId="0" xfId="2" applyNumberFormat="1" applyFont="1"/>
    <xf numFmtId="5" fontId="151" fillId="0" borderId="0" xfId="2" applyNumberFormat="1" applyFont="1" applyAlignment="1">
      <alignment horizontal="center"/>
    </xf>
    <xf numFmtId="9" fontId="154" fillId="0" borderId="0" xfId="505" applyFont="1" applyProtection="1"/>
    <xf numFmtId="5" fontId="150" fillId="0" borderId="0" xfId="505" applyNumberFormat="1" applyFont="1" applyFill="1" applyAlignment="1" applyProtection="1">
      <alignment horizontal="right"/>
    </xf>
    <xf numFmtId="9" fontId="150" fillId="0" borderId="0" xfId="505" applyFont="1"/>
    <xf numFmtId="9" fontId="151" fillId="0" borderId="0" xfId="505" applyFont="1" applyProtection="1"/>
    <xf numFmtId="0" fontId="159" fillId="0" borderId="0" xfId="0" applyFont="1"/>
    <xf numFmtId="37" fontId="151" fillId="0" borderId="0" xfId="505" applyNumberFormat="1" applyFont="1" applyProtection="1"/>
    <xf numFmtId="37" fontId="150" fillId="0" borderId="0" xfId="505" applyNumberFormat="1" applyFont="1" applyFill="1" applyAlignment="1" applyProtection="1">
      <alignment horizontal="right"/>
    </xf>
    <xf numFmtId="37" fontId="150" fillId="0" borderId="0" xfId="207" applyNumberFormat="1" applyFont="1" applyFill="1" applyAlignment="1" applyProtection="1">
      <alignment horizontal="right"/>
    </xf>
    <xf numFmtId="37" fontId="154" fillId="0" borderId="0" xfId="2" applyNumberFormat="1" applyFont="1" applyFill="1" applyAlignment="1" applyProtection="1">
      <alignment horizontal="right"/>
    </xf>
    <xf numFmtId="164" fontId="151" fillId="0" borderId="0" xfId="1" applyNumberFormat="1" applyFont="1"/>
    <xf numFmtId="9" fontId="154" fillId="0" borderId="0" xfId="505" applyFont="1"/>
    <xf numFmtId="0" fontId="154" fillId="0" borderId="0" xfId="1" applyFont="1"/>
    <xf numFmtId="0" fontId="154" fillId="0" borderId="4" xfId="1" applyFont="1" applyBorder="1" applyAlignment="1">
      <alignment wrapText="1"/>
    </xf>
    <xf numFmtId="9" fontId="154" fillId="0" borderId="4" xfId="505" applyFont="1" applyBorder="1"/>
    <xf numFmtId="211" fontId="150" fillId="0" borderId="0" xfId="2" applyNumberFormat="1" applyFont="1" applyFill="1" applyProtection="1"/>
    <xf numFmtId="0" fontId="161" fillId="0" borderId="41" xfId="1" applyFont="1" applyBorder="1"/>
    <xf numFmtId="0" fontId="150" fillId="0" borderId="42" xfId="320" applyFont="1" applyBorder="1" applyProtection="1"/>
    <xf numFmtId="0" fontId="161" fillId="0" borderId="0" xfId="1" applyFont="1" applyAlignment="1">
      <alignment horizontal="left" wrapText="1"/>
    </xf>
    <xf numFmtId="5" fontId="154" fillId="0" borderId="0" xfId="506" applyNumberFormat="1" applyFont="1" applyProtection="1"/>
    <xf numFmtId="5" fontId="154" fillId="0" borderId="0" xfId="2" applyNumberFormat="1" applyFont="1"/>
    <xf numFmtId="9" fontId="154" fillId="0" borderId="0" xfId="2" applyNumberFormat="1" applyFont="1"/>
    <xf numFmtId="9" fontId="150" fillId="0" borderId="0" xfId="2" applyNumberFormat="1" applyFont="1"/>
    <xf numFmtId="167" fontId="154" fillId="0" borderId="0" xfId="207" applyNumberFormat="1" applyFont="1"/>
    <xf numFmtId="37" fontId="151" fillId="0" borderId="0" xfId="505" applyNumberFormat="1" applyFont="1" applyFill="1" applyProtection="1"/>
    <xf numFmtId="167" fontId="150" fillId="0" borderId="0" xfId="505" applyNumberFormat="1" applyFont="1" applyProtection="1"/>
    <xf numFmtId="167" fontId="154" fillId="0" borderId="0" xfId="505" applyNumberFormat="1" applyFont="1" applyProtection="1"/>
    <xf numFmtId="167" fontId="156" fillId="0" borderId="0" xfId="505" applyNumberFormat="1" applyFont="1" applyFill="1" applyAlignment="1" applyProtection="1">
      <alignment horizontal="right"/>
    </xf>
    <xf numFmtId="167" fontId="151" fillId="0" borderId="0" xfId="505" applyNumberFormat="1" applyFont="1" applyProtection="1"/>
    <xf numFmtId="167" fontId="150" fillId="0" borderId="0" xfId="505" applyNumberFormat="1" applyFont="1" applyFill="1" applyAlignment="1" applyProtection="1">
      <alignment horizontal="right"/>
    </xf>
    <xf numFmtId="167" fontId="151" fillId="0" borderId="0" xfId="505" applyNumberFormat="1" applyFont="1" applyFill="1" applyAlignment="1" applyProtection="1">
      <alignment horizontal="right"/>
    </xf>
    <xf numFmtId="167" fontId="162" fillId="0" borderId="0" xfId="505" applyNumberFormat="1" applyFont="1" applyFill="1" applyAlignment="1" applyProtection="1">
      <alignment horizontal="right"/>
    </xf>
    <xf numFmtId="14" fontId="151" fillId="0" borderId="0" xfId="320" quotePrefix="1" applyNumberFormat="1" applyFont="1" applyProtection="1"/>
    <xf numFmtId="37" fontId="163" fillId="0" borderId="0" xfId="505" applyNumberFormat="1" applyFont="1" applyProtection="1"/>
    <xf numFmtId="217" fontId="150" fillId="0" borderId="0" xfId="1" applyNumberFormat="1" applyFont="1"/>
    <xf numFmtId="164" fontId="150" fillId="0" borderId="41" xfId="1" applyNumberFormat="1" applyFont="1" applyBorder="1"/>
    <xf numFmtId="0" fontId="150" fillId="0" borderId="41" xfId="1" applyFont="1" applyBorder="1"/>
    <xf numFmtId="9" fontId="150" fillId="0" borderId="0" xfId="1" applyNumberFormat="1" applyFont="1"/>
    <xf numFmtId="0" fontId="150" fillId="0" borderId="42" xfId="1" applyFont="1" applyBorder="1"/>
    <xf numFmtId="9" fontId="150" fillId="0" borderId="42" xfId="505" applyFont="1" applyBorder="1"/>
    <xf numFmtId="9" fontId="154" fillId="0" borderId="0" xfId="1" applyNumberFormat="1" applyFont="1"/>
    <xf numFmtId="37" fontId="150" fillId="39" borderId="0" xfId="1" applyNumberFormat="1" applyFont="1" applyFill="1"/>
    <xf numFmtId="0" fontId="150" fillId="39" borderId="0" xfId="1" applyFont="1" applyFill="1"/>
    <xf numFmtId="0" fontId="154" fillId="39" borderId="0" xfId="1" applyFont="1" applyFill="1"/>
    <xf numFmtId="9" fontId="150" fillId="39" borderId="0" xfId="1" applyNumberFormat="1" applyFont="1" applyFill="1"/>
    <xf numFmtId="9" fontId="150" fillId="39" borderId="0" xfId="505" applyFont="1" applyFill="1"/>
    <xf numFmtId="9" fontId="154" fillId="39" borderId="0" xfId="505" applyFont="1" applyFill="1"/>
    <xf numFmtId="0" fontId="150" fillId="39" borderId="42" xfId="1" applyFont="1" applyFill="1" applyBorder="1"/>
    <xf numFmtId="211" fontId="150" fillId="39" borderId="0" xfId="1" applyNumberFormat="1" applyFont="1" applyFill="1"/>
    <xf numFmtId="9" fontId="150" fillId="39" borderId="0" xfId="505" applyFont="1" applyFill="1" applyBorder="1"/>
    <xf numFmtId="9" fontId="150" fillId="0" borderId="0" xfId="505" applyFont="1" applyBorder="1"/>
    <xf numFmtId="211" fontId="150" fillId="0" borderId="0" xfId="1" applyNumberFormat="1" applyFont="1"/>
    <xf numFmtId="37" fontId="150" fillId="39" borderId="0" xfId="1" applyNumberFormat="1" applyFont="1" applyFill="1" applyAlignment="1">
      <alignment horizontal="right"/>
    </xf>
    <xf numFmtId="9" fontId="150" fillId="0" borderId="0" xfId="505" applyFont="1" applyFill="1"/>
    <xf numFmtId="0" fontId="153" fillId="0" borderId="0" xfId="320" applyFont="1" applyProtection="1"/>
    <xf numFmtId="0" fontId="153" fillId="0" borderId="0" xfId="1" applyFont="1"/>
    <xf numFmtId="0" fontId="153" fillId="39" borderId="0" xfId="1" applyFont="1" applyFill="1"/>
    <xf numFmtId="9" fontId="153" fillId="39" borderId="0" xfId="1" applyNumberFormat="1" applyFont="1" applyFill="1"/>
    <xf numFmtId="9" fontId="153" fillId="0" borderId="0" xfId="1" applyNumberFormat="1" applyFont="1"/>
    <xf numFmtId="0" fontId="164" fillId="0" borderId="0" xfId="1" applyFont="1"/>
    <xf numFmtId="0" fontId="161" fillId="0" borderId="41" xfId="1" applyFont="1" applyBorder="1" applyAlignment="1">
      <alignment horizontal="left" wrapText="1"/>
    </xf>
    <xf numFmtId="0" fontId="0" fillId="0" borderId="43" xfId="0" applyBorder="1"/>
    <xf numFmtId="9" fontId="0" fillId="0" borderId="43" xfId="505" applyFont="1" applyBorder="1"/>
    <xf numFmtId="0" fontId="161" fillId="0" borderId="0" xfId="1" applyFont="1"/>
    <xf numFmtId="10" fontId="150" fillId="39" borderId="0" xfId="505" applyNumberFormat="1" applyFont="1" applyFill="1"/>
    <xf numFmtId="37" fontId="151" fillId="39" borderId="0" xfId="1" applyNumberFormat="1" applyFont="1" applyFill="1"/>
    <xf numFmtId="37" fontId="154" fillId="39" borderId="0" xfId="505" applyNumberFormat="1" applyFont="1" applyFill="1" applyProtection="1"/>
    <xf numFmtId="37" fontId="150" fillId="39" borderId="0" xfId="505" applyNumberFormat="1" applyFont="1" applyFill="1" applyProtection="1"/>
    <xf numFmtId="0" fontId="156" fillId="0" borderId="0" xfId="0" applyFont="1"/>
    <xf numFmtId="9" fontId="156" fillId="39" borderId="0" xfId="505" applyFont="1" applyFill="1" applyBorder="1"/>
    <xf numFmtId="9" fontId="156" fillId="0" borderId="0" xfId="505" applyFont="1" applyBorder="1"/>
    <xf numFmtId="9" fontId="156" fillId="0" borderId="0" xfId="505" applyFont="1"/>
    <xf numFmtId="0" fontId="154" fillId="0" borderId="4" xfId="1" applyFont="1" applyBorder="1"/>
    <xf numFmtId="10" fontId="154" fillId="39" borderId="4" xfId="505" applyNumberFormat="1" applyFont="1" applyFill="1" applyBorder="1"/>
    <xf numFmtId="0" fontId="150" fillId="39" borderId="41" xfId="1" applyFont="1" applyFill="1" applyBorder="1"/>
    <xf numFmtId="211" fontId="154" fillId="39" borderId="0" xfId="1" applyNumberFormat="1" applyFont="1" applyFill="1"/>
    <xf numFmtId="167" fontId="150" fillId="0" borderId="0" xfId="505" applyNumberFormat="1" applyFont="1" applyAlignment="1" applyProtection="1">
      <alignment horizontal="right"/>
    </xf>
    <xf numFmtId="167" fontId="150" fillId="0" borderId="0" xfId="2" applyNumberFormat="1" applyFont="1" applyAlignment="1" applyProtection="1">
      <alignment horizontal="right"/>
    </xf>
    <xf numFmtId="167" fontId="154" fillId="0" borderId="0" xfId="505" applyNumberFormat="1" applyFont="1" applyAlignment="1" applyProtection="1">
      <alignment horizontal="right"/>
    </xf>
    <xf numFmtId="167" fontId="154" fillId="0" borderId="0" xfId="2" applyNumberFormat="1" applyFont="1" applyAlignment="1" applyProtection="1">
      <alignment horizontal="right"/>
    </xf>
    <xf numFmtId="259" fontId="150" fillId="0" borderId="0" xfId="1" applyNumberFormat="1" applyFont="1"/>
    <xf numFmtId="259" fontId="150" fillId="0" borderId="0" xfId="505" applyNumberFormat="1" applyFont="1" applyProtection="1"/>
    <xf numFmtId="259" fontId="151" fillId="0" borderId="0" xfId="94" applyNumberFormat="1" applyFont="1" applyProtection="1"/>
    <xf numFmtId="259" fontId="150" fillId="0" borderId="0" xfId="505" applyNumberFormat="1" applyFont="1" applyFill="1" applyAlignment="1" applyProtection="1">
      <alignment horizontal="right"/>
    </xf>
    <xf numFmtId="259" fontId="151" fillId="0" borderId="0" xfId="1" applyNumberFormat="1" applyFont="1"/>
    <xf numFmtId="259" fontId="154" fillId="0" borderId="0" xfId="505" applyNumberFormat="1" applyFont="1" applyProtection="1"/>
    <xf numFmtId="259" fontId="150" fillId="39" borderId="0" xfId="1" applyNumberFormat="1" applyFont="1" applyFill="1"/>
    <xf numFmtId="3" fontId="93" fillId="0" borderId="28" xfId="313" applyNumberFormat="1" applyFont="1" applyBorder="1" applyAlignment="1">
      <alignment horizontal="center"/>
    </xf>
    <xf numFmtId="215" fontId="93" fillId="0" borderId="29" xfId="313" applyNumberFormat="1" applyFont="1" applyBorder="1"/>
    <xf numFmtId="43" fontId="165" fillId="3" borderId="0" xfId="507" quotePrefix="1" applyNumberFormat="1" applyFont="1" applyFill="1"/>
    <xf numFmtId="9" fontId="150" fillId="39" borderId="42" xfId="505" applyFont="1" applyFill="1" applyBorder="1"/>
    <xf numFmtId="167" fontId="156" fillId="0" borderId="0" xfId="505" applyNumberFormat="1" applyFont="1" applyAlignment="1" applyProtection="1">
      <alignment horizontal="right"/>
    </xf>
    <xf numFmtId="167" fontId="156" fillId="0" borderId="0" xfId="2" applyNumberFormat="1" applyFont="1" applyAlignment="1" applyProtection="1">
      <alignment horizontal="right"/>
    </xf>
    <xf numFmtId="37" fontId="154" fillId="0" borderId="0" xfId="1" applyNumberFormat="1" applyFont="1"/>
    <xf numFmtId="164" fontId="154" fillId="0" borderId="0" xfId="2" applyNumberFormat="1" applyFont="1"/>
    <xf numFmtId="164" fontId="153" fillId="0" borderId="0" xfId="1" applyNumberFormat="1" applyFont="1"/>
    <xf numFmtId="37" fontId="153" fillId="0" borderId="0" xfId="1" applyNumberFormat="1" applyFont="1"/>
    <xf numFmtId="37" fontId="166" fillId="0" borderId="0" xfId="1" applyNumberFormat="1" applyFont="1"/>
    <xf numFmtId="167" fontId="150" fillId="0" borderId="0" xfId="207" applyNumberFormat="1" applyFont="1" applyAlignment="1" applyProtection="1">
      <alignment horizontal="center"/>
    </xf>
    <xf numFmtId="167" fontId="150" fillId="0" borderId="0" xfId="177" applyNumberFormat="1" applyFont="1" applyAlignment="1">
      <alignment horizontal="center"/>
    </xf>
    <xf numFmtId="0" fontId="168" fillId="0" borderId="1" xfId="177" applyFont="1" applyBorder="1"/>
    <xf numFmtId="0" fontId="167" fillId="0" borderId="1" xfId="177" applyFont="1" applyBorder="1"/>
    <xf numFmtId="37" fontId="167" fillId="0" borderId="1" xfId="177" applyNumberFormat="1" applyFont="1" applyBorder="1"/>
    <xf numFmtId="164" fontId="167" fillId="0" borderId="1" xfId="177" applyNumberFormat="1" applyFont="1" applyBorder="1"/>
    <xf numFmtId="0" fontId="169" fillId="0" borderId="0" xfId="177" applyFont="1"/>
    <xf numFmtId="0" fontId="170" fillId="0" borderId="0" xfId="177" applyFont="1" applyAlignment="1">
      <alignment horizontal="center"/>
    </xf>
    <xf numFmtId="9" fontId="170" fillId="0" borderId="0" xfId="505" applyFont="1" applyAlignment="1">
      <alignment horizontal="center"/>
    </xf>
    <xf numFmtId="0" fontId="169" fillId="0" borderId="2" xfId="177" applyFont="1" applyBorder="1" applyAlignment="1">
      <alignment horizontal="centerContinuous"/>
    </xf>
    <xf numFmtId="0" fontId="170" fillId="0" borderId="2" xfId="177" applyFont="1" applyBorder="1" applyAlignment="1">
      <alignment horizontal="centerContinuous"/>
    </xf>
    <xf numFmtId="7" fontId="170" fillId="0" borderId="2" xfId="177" applyNumberFormat="1" applyFont="1" applyBorder="1" applyAlignment="1">
      <alignment horizontal="centerContinuous"/>
    </xf>
    <xf numFmtId="5" fontId="170" fillId="0" borderId="0" xfId="177" applyNumberFormat="1" applyFont="1"/>
    <xf numFmtId="5" fontId="170" fillId="0" borderId="0" xfId="94" applyNumberFormat="1" applyFont="1" applyProtection="1"/>
    <xf numFmtId="0" fontId="170" fillId="0" borderId="0" xfId="177" applyFont="1"/>
    <xf numFmtId="165" fontId="171" fillId="0" borderId="0" xfId="2" applyNumberFormat="1" applyFont="1"/>
    <xf numFmtId="37" fontId="169" fillId="0" borderId="0" xfId="2" applyNumberFormat="1" applyFont="1" applyProtection="1"/>
    <xf numFmtId="0" fontId="171" fillId="0" borderId="0" xfId="177" applyFont="1"/>
    <xf numFmtId="5" fontId="169" fillId="0" borderId="0" xfId="177" applyNumberFormat="1" applyFont="1" applyAlignment="1">
      <alignment horizontal="right"/>
    </xf>
    <xf numFmtId="0" fontId="169" fillId="0" borderId="0" xfId="177" applyFont="1" applyAlignment="1">
      <alignment horizontal="left"/>
    </xf>
    <xf numFmtId="0" fontId="169" fillId="0" borderId="0" xfId="177" applyFont="1" applyAlignment="1">
      <alignment horizontal="right"/>
    </xf>
    <xf numFmtId="37" fontId="169" fillId="0" borderId="0" xfId="2" applyNumberFormat="1" applyFont="1" applyAlignment="1" applyProtection="1">
      <alignment horizontal="right"/>
    </xf>
    <xf numFmtId="37" fontId="169" fillId="0" borderId="0" xfId="177" applyNumberFormat="1" applyFont="1" applyAlignment="1">
      <alignment horizontal="right"/>
    </xf>
    <xf numFmtId="5" fontId="169" fillId="0" borderId="0" xfId="2" applyNumberFormat="1" applyFont="1" applyAlignment="1" applyProtection="1">
      <alignment horizontal="right"/>
    </xf>
    <xf numFmtId="0" fontId="172" fillId="0" borderId="0" xfId="177" applyFont="1" applyAlignment="1">
      <alignment horizontal="right"/>
    </xf>
    <xf numFmtId="167" fontId="169" fillId="0" borderId="0" xfId="207" applyNumberFormat="1" applyFont="1" applyProtection="1"/>
    <xf numFmtId="37" fontId="169" fillId="0" borderId="0" xfId="177" applyNumberFormat="1" applyFont="1"/>
    <xf numFmtId="37" fontId="170" fillId="0" borderId="0" xfId="177" applyNumberFormat="1" applyFont="1"/>
    <xf numFmtId="0" fontId="172" fillId="0" borderId="0" xfId="177" applyFont="1"/>
    <xf numFmtId="0" fontId="172" fillId="0" borderId="0" xfId="177" applyFont="1" applyAlignment="1">
      <alignment horizontal="left"/>
    </xf>
    <xf numFmtId="167" fontId="172" fillId="0" borderId="0" xfId="177" applyNumberFormat="1" applyFont="1" applyAlignment="1">
      <alignment horizontal="right"/>
    </xf>
    <xf numFmtId="167" fontId="169" fillId="0" borderId="0" xfId="177" applyNumberFormat="1" applyFont="1"/>
    <xf numFmtId="211" fontId="169" fillId="0" borderId="0" xfId="2" applyNumberFormat="1" applyFont="1" applyProtection="1"/>
    <xf numFmtId="0" fontId="170" fillId="0" borderId="0" xfId="177" applyFont="1" applyAlignment="1">
      <alignment horizontal="left"/>
    </xf>
    <xf numFmtId="0" fontId="170" fillId="0" borderId="0" xfId="177" applyFont="1" applyAlignment="1">
      <alignment horizontal="right"/>
    </xf>
    <xf numFmtId="37" fontId="170" fillId="0" borderId="0" xfId="94" applyNumberFormat="1" applyFont="1" applyProtection="1"/>
    <xf numFmtId="167" fontId="169" fillId="0" borderId="0" xfId="177" applyNumberFormat="1" applyFont="1" applyAlignment="1">
      <alignment horizontal="right"/>
    </xf>
    <xf numFmtId="164" fontId="169" fillId="0" borderId="0" xfId="177" applyNumberFormat="1" applyFont="1" applyAlignment="1">
      <alignment horizontal="right"/>
    </xf>
    <xf numFmtId="7" fontId="170" fillId="0" borderId="0" xfId="177" applyNumberFormat="1" applyFont="1"/>
    <xf numFmtId="7" fontId="169" fillId="0" borderId="0" xfId="177" applyNumberFormat="1" applyFont="1"/>
    <xf numFmtId="7" fontId="170" fillId="0" borderId="0" xfId="94" applyNumberFormat="1" applyFont="1" applyProtection="1"/>
    <xf numFmtId="164" fontId="169" fillId="0" borderId="0" xfId="177" applyNumberFormat="1" applyFont="1"/>
    <xf numFmtId="260" fontId="169" fillId="0" borderId="0" xfId="177" applyNumberFormat="1" applyFont="1"/>
    <xf numFmtId="37" fontId="169" fillId="0" borderId="0" xfId="2" applyNumberFormat="1" applyFont="1"/>
    <xf numFmtId="9" fontId="169" fillId="0" borderId="0" xfId="505" applyFont="1"/>
    <xf numFmtId="0" fontId="169" fillId="0" borderId="3" xfId="317" applyFont="1" applyBorder="1"/>
    <xf numFmtId="0" fontId="169" fillId="0" borderId="3" xfId="177" applyFont="1" applyBorder="1"/>
    <xf numFmtId="43" fontId="169" fillId="0" borderId="3" xfId="177" applyNumberFormat="1" applyFont="1" applyBorder="1"/>
    <xf numFmtId="39" fontId="167" fillId="0" borderId="1" xfId="177" applyNumberFormat="1" applyFont="1" applyBorder="1"/>
    <xf numFmtId="167" fontId="170" fillId="0" borderId="0" xfId="207" applyNumberFormat="1" applyFont="1" applyProtection="1"/>
    <xf numFmtId="167" fontId="169" fillId="0" borderId="0" xfId="207" applyNumberFormat="1" applyFont="1" applyAlignment="1" applyProtection="1">
      <alignment horizontal="center"/>
    </xf>
    <xf numFmtId="10" fontId="172" fillId="0" borderId="0" xfId="177" applyNumberFormat="1" applyFont="1" applyAlignment="1">
      <alignment horizontal="right"/>
    </xf>
    <xf numFmtId="39" fontId="169" fillId="0" borderId="0" xfId="177" applyNumberFormat="1" applyFont="1"/>
    <xf numFmtId="9" fontId="151" fillId="0" borderId="0" xfId="505" applyFont="1" applyFill="1" applyBorder="1" applyAlignment="1">
      <alignment horizontal="center"/>
    </xf>
    <xf numFmtId="0" fontId="170" fillId="3" borderId="0" xfId="177" applyFont="1" applyFill="1" applyAlignment="1">
      <alignment horizontal="center"/>
    </xf>
    <xf numFmtId="44" fontId="169" fillId="0" borderId="0" xfId="506" applyFont="1" applyProtection="1"/>
    <xf numFmtId="5" fontId="150" fillId="0" borderId="0" xfId="506" applyNumberFormat="1" applyFont="1" applyProtection="1"/>
    <xf numFmtId="37" fontId="150" fillId="0" borderId="0" xfId="2" applyNumberFormat="1" applyFont="1" applyFill="1" applyProtection="1"/>
    <xf numFmtId="212" fontId="151" fillId="3" borderId="0" xfId="2" applyNumberFormat="1" applyFont="1" applyFill="1" applyAlignment="1"/>
    <xf numFmtId="5" fontId="151" fillId="3" borderId="0" xfId="94" applyNumberFormat="1" applyFont="1" applyFill="1" applyProtection="1"/>
    <xf numFmtId="5" fontId="170" fillId="3" borderId="0" xfId="94" applyNumberFormat="1" applyFont="1" applyFill="1" applyProtection="1"/>
    <xf numFmtId="167" fontId="150" fillId="3" borderId="0" xfId="2" applyNumberFormat="1" applyFont="1" applyFill="1" applyAlignment="1" applyProtection="1">
      <alignment horizontal="right"/>
    </xf>
    <xf numFmtId="0" fontId="151" fillId="3" borderId="0" xfId="1" applyFont="1" applyFill="1" applyAlignment="1">
      <alignment horizontal="center"/>
    </xf>
    <xf numFmtId="0" fontId="150" fillId="3" borderId="0" xfId="1" applyFont="1" applyFill="1"/>
    <xf numFmtId="37" fontId="150" fillId="3" borderId="0" xfId="1" applyNumberFormat="1" applyFont="1" applyFill="1"/>
    <xf numFmtId="9" fontId="151" fillId="3" borderId="0" xfId="505" applyFont="1" applyFill="1" applyBorder="1" applyAlignment="1">
      <alignment horizontal="center"/>
    </xf>
    <xf numFmtId="0" fontId="151" fillId="3" borderId="0" xfId="177" applyFont="1" applyFill="1" applyAlignment="1">
      <alignment horizontal="center"/>
    </xf>
    <xf numFmtId="0" fontId="150" fillId="3" borderId="0" xfId="321" applyFont="1" applyFill="1"/>
    <xf numFmtId="211" fontId="150" fillId="3" borderId="0" xfId="2" applyNumberFormat="1" applyFont="1" applyFill="1"/>
    <xf numFmtId="0" fontId="170" fillId="0" borderId="44" xfId="177" applyFont="1" applyBorder="1" applyAlignment="1">
      <alignment horizontal="center"/>
    </xf>
    <xf numFmtId="5" fontId="170" fillId="0" borderId="44" xfId="94" applyNumberFormat="1" applyFont="1" applyBorder="1" applyProtection="1"/>
    <xf numFmtId="5" fontId="151" fillId="0" borderId="44" xfId="94" applyNumberFormat="1" applyFont="1" applyBorder="1" applyProtection="1"/>
    <xf numFmtId="167" fontId="150" fillId="0" borderId="44" xfId="505" applyNumberFormat="1" applyFont="1" applyBorder="1" applyAlignment="1" applyProtection="1">
      <alignment horizontal="right"/>
    </xf>
    <xf numFmtId="167" fontId="150" fillId="0" borderId="44" xfId="2" applyNumberFormat="1" applyFont="1" applyBorder="1" applyAlignment="1" applyProtection="1">
      <alignment horizontal="right"/>
    </xf>
    <xf numFmtId="37" fontId="151" fillId="0" borderId="44" xfId="94" applyNumberFormat="1" applyFont="1" applyFill="1" applyBorder="1" applyProtection="1"/>
    <xf numFmtId="37" fontId="169" fillId="0" borderId="44" xfId="2" applyNumberFormat="1" applyFont="1" applyBorder="1" applyProtection="1"/>
    <xf numFmtId="5" fontId="169" fillId="0" borderId="44" xfId="177" applyNumberFormat="1" applyFont="1" applyBorder="1" applyAlignment="1">
      <alignment horizontal="right"/>
    </xf>
    <xf numFmtId="37" fontId="169" fillId="0" borderId="44" xfId="2" applyNumberFormat="1" applyFont="1" applyBorder="1" applyAlignment="1" applyProtection="1">
      <alignment horizontal="right"/>
    </xf>
    <xf numFmtId="5" fontId="169" fillId="0" borderId="44" xfId="2" applyNumberFormat="1" applyFont="1" applyBorder="1" applyAlignment="1" applyProtection="1">
      <alignment horizontal="right"/>
    </xf>
    <xf numFmtId="167" fontId="169" fillId="0" borderId="44" xfId="207" applyNumberFormat="1" applyFont="1" applyBorder="1" applyProtection="1"/>
    <xf numFmtId="37" fontId="169" fillId="0" borderId="44" xfId="177" applyNumberFormat="1" applyFont="1" applyBorder="1"/>
    <xf numFmtId="37" fontId="170" fillId="0" borderId="44" xfId="177" applyNumberFormat="1" applyFont="1" applyBorder="1"/>
    <xf numFmtId="167" fontId="172" fillId="0" borderId="44" xfId="177" applyNumberFormat="1" applyFont="1" applyBorder="1" applyAlignment="1">
      <alignment horizontal="right"/>
    </xf>
    <xf numFmtId="167" fontId="169" fillId="0" borderId="44" xfId="177" applyNumberFormat="1" applyFont="1" applyBorder="1"/>
    <xf numFmtId="211" fontId="169" fillId="0" borderId="44" xfId="2" applyNumberFormat="1" applyFont="1" applyBorder="1" applyProtection="1"/>
    <xf numFmtId="37" fontId="169" fillId="0" borderId="44" xfId="177" applyNumberFormat="1" applyFont="1" applyBorder="1" applyAlignment="1">
      <alignment horizontal="right"/>
    </xf>
    <xf numFmtId="37" fontId="170" fillId="0" borderId="44" xfId="94" applyNumberFormat="1" applyFont="1" applyBorder="1" applyProtection="1"/>
    <xf numFmtId="167" fontId="169" fillId="0" borderId="44" xfId="177" applyNumberFormat="1" applyFont="1" applyBorder="1" applyAlignment="1">
      <alignment horizontal="right"/>
    </xf>
    <xf numFmtId="37" fontId="151" fillId="0" borderId="44" xfId="94" applyNumberFormat="1" applyFont="1" applyBorder="1" applyProtection="1"/>
    <xf numFmtId="7" fontId="170" fillId="0" borderId="44" xfId="94" applyNumberFormat="1" applyFont="1" applyBorder="1" applyProtection="1"/>
    <xf numFmtId="7" fontId="170" fillId="0" borderId="44" xfId="177" applyNumberFormat="1" applyFont="1" applyBorder="1"/>
    <xf numFmtId="7" fontId="151" fillId="0" borderId="44" xfId="177" applyNumberFormat="1" applyFont="1" applyBorder="1"/>
    <xf numFmtId="7" fontId="169" fillId="0" borderId="44" xfId="177" applyNumberFormat="1" applyFont="1" applyBorder="1"/>
    <xf numFmtId="0" fontId="170" fillId="3" borderId="44" xfId="177" applyFont="1" applyFill="1" applyBorder="1" applyAlignment="1">
      <alignment horizontal="center"/>
    </xf>
    <xf numFmtId="5" fontId="170" fillId="3" borderId="44" xfId="94" applyNumberFormat="1" applyFont="1" applyFill="1" applyBorder="1" applyProtection="1"/>
    <xf numFmtId="5" fontId="151" fillId="3" borderId="44" xfId="94" applyNumberFormat="1" applyFont="1" applyFill="1" applyBorder="1" applyProtection="1"/>
    <xf numFmtId="167" fontId="150" fillId="3" borderId="44" xfId="505" applyNumberFormat="1" applyFont="1" applyFill="1" applyBorder="1" applyAlignment="1" applyProtection="1">
      <alignment horizontal="right"/>
    </xf>
    <xf numFmtId="167" fontId="150" fillId="3" borderId="44" xfId="2" applyNumberFormat="1" applyFont="1" applyFill="1" applyBorder="1" applyAlignment="1" applyProtection="1">
      <alignment horizontal="right"/>
    </xf>
    <xf numFmtId="37" fontId="151" fillId="3" borderId="44" xfId="94" applyNumberFormat="1" applyFont="1" applyFill="1" applyBorder="1" applyProtection="1"/>
    <xf numFmtId="37" fontId="169" fillId="3" borderId="44" xfId="2" applyNumberFormat="1" applyFont="1" applyFill="1" applyBorder="1" applyProtection="1"/>
    <xf numFmtId="5" fontId="169" fillId="3" borderId="44" xfId="177" applyNumberFormat="1" applyFont="1" applyFill="1" applyBorder="1" applyAlignment="1">
      <alignment horizontal="right"/>
    </xf>
    <xf numFmtId="37" fontId="169" fillId="3" borderId="44" xfId="2" applyNumberFormat="1" applyFont="1" applyFill="1" applyBorder="1" applyAlignment="1" applyProtection="1">
      <alignment horizontal="right"/>
    </xf>
    <xf numFmtId="5" fontId="169" fillId="3" borderId="44" xfId="2" applyNumberFormat="1" applyFont="1" applyFill="1" applyBorder="1" applyAlignment="1" applyProtection="1">
      <alignment horizontal="right"/>
    </xf>
    <xf numFmtId="167" fontId="169" fillId="3" borderId="44" xfId="207" applyNumberFormat="1" applyFont="1" applyFill="1" applyBorder="1" applyProtection="1"/>
    <xf numFmtId="37" fontId="169" fillId="3" borderId="44" xfId="177" applyNumberFormat="1" applyFont="1" applyFill="1" applyBorder="1"/>
    <xf numFmtId="37" fontId="170" fillId="3" borderId="44" xfId="177" applyNumberFormat="1" applyFont="1" applyFill="1" applyBorder="1"/>
    <xf numFmtId="167" fontId="172" fillId="3" borderId="44" xfId="177" applyNumberFormat="1" applyFont="1" applyFill="1" applyBorder="1" applyAlignment="1">
      <alignment horizontal="right"/>
    </xf>
    <xf numFmtId="167" fontId="169" fillId="3" borderId="44" xfId="177" applyNumberFormat="1" applyFont="1" applyFill="1" applyBorder="1"/>
    <xf numFmtId="211" fontId="169" fillId="3" borderId="44" xfId="2" applyNumberFormat="1" applyFont="1" applyFill="1" applyBorder="1" applyProtection="1"/>
    <xf numFmtId="37" fontId="169" fillId="3" borderId="44" xfId="177" applyNumberFormat="1" applyFont="1" applyFill="1" applyBorder="1" applyAlignment="1">
      <alignment horizontal="right"/>
    </xf>
    <xf numFmtId="37" fontId="170" fillId="3" borderId="44" xfId="94" applyNumberFormat="1" applyFont="1" applyFill="1" applyBorder="1" applyProtection="1"/>
    <xf numFmtId="167" fontId="169" fillId="3" borderId="44" xfId="177" applyNumberFormat="1" applyFont="1" applyFill="1" applyBorder="1" applyAlignment="1">
      <alignment horizontal="right"/>
    </xf>
    <xf numFmtId="7" fontId="169" fillId="3" borderId="44" xfId="177" applyNumberFormat="1" applyFont="1" applyFill="1" applyBorder="1"/>
    <xf numFmtId="7" fontId="170" fillId="3" borderId="44" xfId="177" applyNumberFormat="1" applyFont="1" applyFill="1" applyBorder="1"/>
    <xf numFmtId="7" fontId="151" fillId="3" borderId="44" xfId="177" applyNumberFormat="1" applyFont="1" applyFill="1" applyBorder="1"/>
    <xf numFmtId="167" fontId="150" fillId="3" borderId="44" xfId="177" applyNumberFormat="1" applyFont="1" applyFill="1" applyBorder="1" applyAlignment="1">
      <alignment horizontal="right"/>
    </xf>
    <xf numFmtId="164" fontId="169" fillId="3" borderId="44" xfId="177" applyNumberFormat="1" applyFont="1" applyFill="1" applyBorder="1" applyAlignment="1">
      <alignment horizontal="right"/>
    </xf>
    <xf numFmtId="7" fontId="150" fillId="3" borderId="44" xfId="177" applyNumberFormat="1" applyFont="1" applyFill="1" applyBorder="1"/>
    <xf numFmtId="0" fontId="151" fillId="0" borderId="44" xfId="177" applyFont="1" applyBorder="1" applyAlignment="1">
      <alignment horizontal="center"/>
    </xf>
    <xf numFmtId="167" fontId="151" fillId="0" borderId="44" xfId="207" applyNumberFormat="1" applyFont="1" applyBorder="1" applyAlignment="1" applyProtection="1">
      <alignment horizontal="right"/>
    </xf>
    <xf numFmtId="167" fontId="150" fillId="0" borderId="44" xfId="207" applyNumberFormat="1" applyFont="1" applyBorder="1" applyAlignment="1" applyProtection="1">
      <alignment horizontal="right"/>
    </xf>
    <xf numFmtId="37" fontId="150" fillId="0" borderId="44" xfId="177" applyNumberFormat="1" applyFont="1" applyBorder="1" applyAlignment="1">
      <alignment horizontal="right"/>
    </xf>
    <xf numFmtId="37" fontId="150" fillId="0" borderId="44" xfId="177" applyNumberFormat="1" applyFont="1" applyBorder="1"/>
    <xf numFmtId="167" fontId="150" fillId="0" borderId="29" xfId="207" applyNumberFormat="1" applyFont="1" applyBorder="1" applyAlignment="1" applyProtection="1">
      <alignment horizontal="right"/>
    </xf>
    <xf numFmtId="167" fontId="170" fillId="0" borderId="44" xfId="207" applyNumberFormat="1" applyFont="1" applyBorder="1" applyProtection="1"/>
    <xf numFmtId="10" fontId="172" fillId="0" borderId="44" xfId="177" applyNumberFormat="1" applyFont="1" applyBorder="1" applyAlignment="1">
      <alignment horizontal="right"/>
    </xf>
    <xf numFmtId="39" fontId="169" fillId="0" borderId="44" xfId="177" applyNumberFormat="1" applyFont="1" applyBorder="1"/>
    <xf numFmtId="9" fontId="151" fillId="0" borderId="44" xfId="505" applyFont="1" applyBorder="1" applyAlignment="1">
      <alignment horizontal="center"/>
    </xf>
    <xf numFmtId="9" fontId="150" fillId="0" borderId="44" xfId="505" applyFont="1" applyFill="1" applyBorder="1" applyAlignment="1" applyProtection="1">
      <alignment horizontal="right"/>
    </xf>
    <xf numFmtId="37" fontId="150" fillId="0" borderId="44" xfId="505" applyNumberFormat="1" applyFont="1" applyBorder="1" applyProtection="1"/>
    <xf numFmtId="37" fontId="156" fillId="0" borderId="44" xfId="505" applyNumberFormat="1" applyFont="1" applyFill="1" applyBorder="1" applyAlignment="1" applyProtection="1">
      <alignment horizontal="right"/>
    </xf>
    <xf numFmtId="37" fontId="151" fillId="0" borderId="44" xfId="505" applyNumberFormat="1" applyFont="1" applyBorder="1" applyProtection="1"/>
    <xf numFmtId="9" fontId="150" fillId="0" borderId="44" xfId="505" applyFont="1" applyBorder="1" applyAlignment="1" applyProtection="1">
      <alignment horizontal="right"/>
    </xf>
    <xf numFmtId="37" fontId="150" fillId="0" borderId="0" xfId="505" applyNumberFormat="1" applyFont="1" applyBorder="1" applyProtection="1"/>
    <xf numFmtId="37" fontId="156" fillId="0" borderId="0" xfId="505" applyNumberFormat="1" applyFont="1" applyFill="1" applyBorder="1" applyAlignment="1" applyProtection="1">
      <alignment horizontal="right"/>
    </xf>
    <xf numFmtId="37" fontId="151" fillId="0" borderId="0" xfId="505" applyNumberFormat="1" applyFont="1" applyBorder="1" applyProtection="1"/>
    <xf numFmtId="9" fontId="150" fillId="0" borderId="0" xfId="505" applyFont="1" applyBorder="1" applyAlignment="1" applyProtection="1">
      <alignment horizontal="right"/>
    </xf>
    <xf numFmtId="9" fontId="150" fillId="0" borderId="0" xfId="505" applyFont="1" applyFill="1" applyBorder="1" applyAlignment="1" applyProtection="1">
      <alignment horizontal="right"/>
    </xf>
    <xf numFmtId="259" fontId="150" fillId="0" borderId="44" xfId="505" applyNumberFormat="1" applyFont="1" applyBorder="1" applyProtection="1"/>
    <xf numFmtId="167" fontId="150" fillId="0" borderId="44" xfId="505" applyNumberFormat="1" applyFont="1" applyBorder="1" applyProtection="1"/>
    <xf numFmtId="167" fontId="156" fillId="0" borderId="44" xfId="505" applyNumberFormat="1" applyFont="1" applyFill="1" applyBorder="1" applyAlignment="1" applyProtection="1">
      <alignment horizontal="right"/>
    </xf>
    <xf numFmtId="167" fontId="151" fillId="0" borderId="44" xfId="505" applyNumberFormat="1" applyFont="1" applyBorder="1" applyProtection="1"/>
    <xf numFmtId="167" fontId="150" fillId="0" borderId="44" xfId="505" applyNumberFormat="1" applyFont="1" applyFill="1" applyBorder="1" applyAlignment="1" applyProtection="1">
      <alignment horizontal="right"/>
    </xf>
    <xf numFmtId="167" fontId="151" fillId="0" borderId="44" xfId="505" applyNumberFormat="1" applyFont="1" applyFill="1" applyBorder="1" applyAlignment="1" applyProtection="1">
      <alignment horizontal="right"/>
    </xf>
    <xf numFmtId="167" fontId="154" fillId="0" borderId="44" xfId="505" applyNumberFormat="1" applyFont="1" applyBorder="1" applyProtection="1"/>
    <xf numFmtId="5" fontId="150" fillId="0" borderId="44" xfId="505" applyNumberFormat="1" applyFont="1" applyFill="1" applyBorder="1" applyAlignment="1" applyProtection="1">
      <alignment horizontal="right"/>
    </xf>
    <xf numFmtId="37" fontId="150" fillId="0" borderId="44" xfId="2" applyNumberFormat="1" applyFont="1" applyFill="1" applyBorder="1" applyAlignment="1" applyProtection="1">
      <alignment horizontal="right"/>
    </xf>
    <xf numFmtId="37" fontId="150" fillId="0" borderId="44" xfId="207" applyNumberFormat="1" applyFont="1" applyFill="1" applyBorder="1" applyAlignment="1" applyProtection="1">
      <alignment horizontal="right"/>
    </xf>
    <xf numFmtId="259" fontId="151" fillId="0" borderId="44" xfId="94" applyNumberFormat="1" applyFont="1" applyBorder="1" applyProtection="1"/>
    <xf numFmtId="37" fontId="150" fillId="0" borderId="44" xfId="94" applyNumberFormat="1" applyFont="1" applyBorder="1" applyProtection="1"/>
    <xf numFmtId="259" fontId="151" fillId="0" borderId="44" xfId="1" applyNumberFormat="1" applyFont="1" applyBorder="1"/>
    <xf numFmtId="37" fontId="151" fillId="0" borderId="44" xfId="505" applyNumberFormat="1" applyFont="1" applyFill="1" applyBorder="1" applyProtection="1"/>
    <xf numFmtId="9" fontId="156" fillId="0" borderId="44" xfId="505" applyFont="1" applyFill="1" applyBorder="1" applyAlignment="1" applyProtection="1">
      <alignment horizontal="right"/>
    </xf>
    <xf numFmtId="0" fontId="97" fillId="0" borderId="44" xfId="320" applyBorder="1"/>
    <xf numFmtId="37" fontId="151" fillId="0" borderId="44" xfId="1" applyNumberFormat="1" applyFont="1" applyBorder="1"/>
    <xf numFmtId="259" fontId="150" fillId="0" borderId="44" xfId="505" applyNumberFormat="1" applyFont="1" applyFill="1" applyBorder="1" applyAlignment="1" applyProtection="1">
      <alignment horizontal="right"/>
    </xf>
    <xf numFmtId="9" fontId="151" fillId="0" borderId="44" xfId="505" applyFont="1" applyBorder="1" applyProtection="1"/>
    <xf numFmtId="37" fontId="154" fillId="0" borderId="44" xfId="505" applyNumberFormat="1" applyFont="1" applyBorder="1" applyProtection="1"/>
    <xf numFmtId="259" fontId="150" fillId="0" borderId="44" xfId="1" applyNumberFormat="1" applyFont="1" applyBorder="1"/>
    <xf numFmtId="9" fontId="150" fillId="0" borderId="44" xfId="505" applyFont="1" applyBorder="1"/>
    <xf numFmtId="10" fontId="150" fillId="0" borderId="44" xfId="505" applyNumberFormat="1" applyFont="1" applyBorder="1"/>
    <xf numFmtId="37" fontId="150" fillId="0" borderId="44" xfId="1" applyNumberFormat="1" applyFont="1" applyBorder="1"/>
    <xf numFmtId="9" fontId="156" fillId="0" borderId="44" xfId="505" applyFont="1" applyBorder="1"/>
    <xf numFmtId="9" fontId="156" fillId="0" borderId="45" xfId="505" applyFont="1" applyBorder="1"/>
    <xf numFmtId="0" fontId="151" fillId="3" borderId="2" xfId="177" applyFont="1" applyFill="1" applyBorder="1" applyAlignment="1">
      <alignment horizontal="left"/>
    </xf>
    <xf numFmtId="212" fontId="151" fillId="3" borderId="0" xfId="94" applyNumberFormat="1" applyFont="1" applyFill="1" applyProtection="1"/>
    <xf numFmtId="0" fontId="150" fillId="0" borderId="4" xfId="1" applyFont="1" applyBorder="1" applyAlignment="1">
      <alignment horizontal="center"/>
    </xf>
    <xf numFmtId="212" fontId="150" fillId="3" borderId="0" xfId="94" applyNumberFormat="1" applyFont="1" applyFill="1" applyProtection="1"/>
    <xf numFmtId="261" fontId="150" fillId="3" borderId="0" xfId="94" applyNumberFormat="1" applyFont="1" applyFill="1" applyProtection="1"/>
    <xf numFmtId="261" fontId="150" fillId="0" borderId="0" xfId="177" applyNumberFormat="1" applyFont="1"/>
    <xf numFmtId="212" fontId="150" fillId="40" borderId="0" xfId="94" applyNumberFormat="1" applyFont="1" applyFill="1" applyProtection="1"/>
    <xf numFmtId="7" fontId="150" fillId="40" borderId="0" xfId="177" applyNumberFormat="1" applyFont="1" applyFill="1"/>
    <xf numFmtId="9" fontId="150" fillId="3" borderId="0" xfId="505" applyFont="1" applyFill="1" applyAlignment="1" applyProtection="1">
      <alignment horizontal="right"/>
    </xf>
    <xf numFmtId="167" fontId="150" fillId="0" borderId="46" xfId="505" applyNumberFormat="1" applyFont="1" applyBorder="1" applyProtection="1"/>
    <xf numFmtId="167" fontId="150" fillId="0" borderId="0" xfId="505" applyNumberFormat="1" applyFont="1" applyBorder="1" applyProtection="1"/>
    <xf numFmtId="0" fontId="150" fillId="0" borderId="44" xfId="321" applyFont="1" applyBorder="1"/>
    <xf numFmtId="211" fontId="150" fillId="0" borderId="44" xfId="2" applyNumberFormat="1" applyFont="1" applyFill="1" applyBorder="1"/>
    <xf numFmtId="211" fontId="150" fillId="0" borderId="44" xfId="2" applyNumberFormat="1" applyFont="1" applyBorder="1"/>
    <xf numFmtId="165" fontId="150" fillId="0" borderId="44" xfId="2" applyNumberFormat="1" applyFont="1" applyFill="1" applyBorder="1"/>
    <xf numFmtId="167" fontId="150" fillId="0" borderId="44" xfId="207" applyNumberFormat="1" applyFont="1" applyBorder="1"/>
    <xf numFmtId="167" fontId="150" fillId="0" borderId="44" xfId="207" applyNumberFormat="1" applyFont="1" applyFill="1" applyBorder="1" applyAlignment="1" applyProtection="1">
      <alignment horizontal="right"/>
    </xf>
    <xf numFmtId="37" fontId="154" fillId="0" borderId="44" xfId="2" applyNumberFormat="1" applyFont="1" applyBorder="1"/>
    <xf numFmtId="5" fontId="154" fillId="0" borderId="44" xfId="2" applyNumberFormat="1" applyFont="1" applyBorder="1"/>
    <xf numFmtId="5" fontId="150" fillId="0" borderId="44" xfId="2" applyNumberFormat="1" applyFont="1" applyBorder="1"/>
    <xf numFmtId="9" fontId="150" fillId="0" borderId="44" xfId="2" applyNumberFormat="1" applyFont="1" applyBorder="1"/>
    <xf numFmtId="9" fontId="150" fillId="0" borderId="44" xfId="505" applyFont="1" applyBorder="1" applyProtection="1"/>
    <xf numFmtId="5" fontId="154" fillId="0" borderId="44" xfId="506" applyNumberFormat="1" applyFont="1" applyBorder="1" applyProtection="1"/>
    <xf numFmtId="5" fontId="150" fillId="0" borderId="44" xfId="177" applyNumberFormat="1" applyFont="1" applyBorder="1"/>
    <xf numFmtId="0" fontId="5" fillId="0" borderId="44" xfId="321" applyBorder="1"/>
    <xf numFmtId="164" fontId="150" fillId="0" borderId="44" xfId="2" applyNumberFormat="1" applyFont="1" applyBorder="1"/>
    <xf numFmtId="9" fontId="154" fillId="0" borderId="44" xfId="2" applyNumberFormat="1" applyFont="1" applyBorder="1"/>
    <xf numFmtId="37" fontId="150" fillId="0" borderId="44" xfId="2" applyNumberFormat="1" applyFont="1" applyBorder="1"/>
    <xf numFmtId="5" fontId="150" fillId="0" borderId="44" xfId="506" applyNumberFormat="1" applyFont="1" applyBorder="1" applyProtection="1"/>
    <xf numFmtId="0" fontId="151" fillId="0" borderId="44" xfId="1" applyFont="1" applyBorder="1" applyAlignment="1">
      <alignment horizontal="center"/>
    </xf>
    <xf numFmtId="0" fontId="150" fillId="0" borderId="44" xfId="1" applyFont="1" applyBorder="1"/>
    <xf numFmtId="37" fontId="150" fillId="0" borderId="44" xfId="1" applyNumberFormat="1" applyFont="1" applyBorder="1" applyAlignment="1">
      <alignment horizontal="right"/>
    </xf>
    <xf numFmtId="37" fontId="154" fillId="0" borderId="44" xfId="1" applyNumberFormat="1" applyFont="1" applyBorder="1"/>
    <xf numFmtId="164" fontId="150" fillId="0" borderId="44" xfId="1" applyNumberFormat="1" applyFont="1" applyBorder="1"/>
    <xf numFmtId="7" fontId="150" fillId="0" borderId="44" xfId="1" applyNumberFormat="1" applyFont="1" applyBorder="1"/>
    <xf numFmtId="5" fontId="150" fillId="0" borderId="44" xfId="1" applyNumberFormat="1" applyFont="1" applyBorder="1"/>
    <xf numFmtId="7" fontId="150" fillId="0" borderId="44" xfId="94" applyNumberFormat="1" applyFont="1" applyFill="1" applyBorder="1" applyProtection="1"/>
    <xf numFmtId="211" fontId="150" fillId="0" borderId="44" xfId="2" applyNumberFormat="1" applyFont="1" applyFill="1" applyBorder="1" applyProtection="1"/>
    <xf numFmtId="9" fontId="0" fillId="0" borderId="0" xfId="505" applyFont="1" applyBorder="1"/>
    <xf numFmtId="9" fontId="156" fillId="41" borderId="0" xfId="505" applyFont="1" applyFill="1" applyBorder="1"/>
    <xf numFmtId="9" fontId="156" fillId="41" borderId="47" xfId="505" applyFont="1" applyFill="1" applyBorder="1"/>
    <xf numFmtId="259" fontId="150" fillId="41" borderId="44" xfId="1" applyNumberFormat="1" applyFont="1" applyFill="1" applyBorder="1"/>
    <xf numFmtId="259" fontId="150" fillId="41" borderId="0" xfId="1" applyNumberFormat="1" applyFont="1" applyFill="1"/>
    <xf numFmtId="9" fontId="150" fillId="41" borderId="44" xfId="505" applyFont="1" applyFill="1" applyBorder="1"/>
    <xf numFmtId="9" fontId="150" fillId="41" borderId="0" xfId="505" applyFont="1" applyFill="1"/>
    <xf numFmtId="10" fontId="150" fillId="41" borderId="44" xfId="505" applyNumberFormat="1" applyFont="1" applyFill="1" applyBorder="1"/>
    <xf numFmtId="10" fontId="150" fillId="41" borderId="0" xfId="505" applyNumberFormat="1" applyFont="1" applyFill="1"/>
    <xf numFmtId="37" fontId="150" fillId="41" borderId="44" xfId="1" applyNumberFormat="1" applyFont="1" applyFill="1" applyBorder="1"/>
    <xf numFmtId="37" fontId="150" fillId="41" borderId="0" xfId="1" applyNumberFormat="1" applyFont="1" applyFill="1"/>
    <xf numFmtId="37" fontId="151" fillId="41" borderId="44" xfId="1" applyNumberFormat="1" applyFont="1" applyFill="1" applyBorder="1"/>
    <xf numFmtId="37" fontId="151" fillId="41" borderId="0" xfId="1" applyNumberFormat="1" applyFont="1" applyFill="1"/>
    <xf numFmtId="10" fontId="154" fillId="41" borderId="45" xfId="505" applyNumberFormat="1" applyFont="1" applyFill="1" applyBorder="1"/>
    <xf numFmtId="0" fontId="154" fillId="41" borderId="4" xfId="1" applyFont="1" applyFill="1" applyBorder="1"/>
    <xf numFmtId="0" fontId="154" fillId="41" borderId="45" xfId="1" applyFont="1" applyFill="1" applyBorder="1"/>
    <xf numFmtId="10" fontId="154" fillId="41" borderId="4" xfId="505" applyNumberFormat="1" applyFont="1" applyFill="1" applyBorder="1"/>
    <xf numFmtId="9" fontId="154" fillId="41" borderId="4" xfId="505" applyFont="1" applyFill="1" applyBorder="1"/>
    <xf numFmtId="37" fontId="3" fillId="0" borderId="0" xfId="1" applyNumberFormat="1" applyFont="1"/>
    <xf numFmtId="37" fontId="150" fillId="3" borderId="0" xfId="505" applyNumberFormat="1" applyFont="1" applyFill="1" applyProtection="1"/>
    <xf numFmtId="37" fontId="150" fillId="3" borderId="0" xfId="2" applyNumberFormat="1" applyFont="1" applyFill="1" applyAlignment="1" applyProtection="1">
      <alignment horizontal="right"/>
    </xf>
    <xf numFmtId="211" fontId="154" fillId="3" borderId="0" xfId="2" applyNumberFormat="1" applyFont="1" applyFill="1"/>
    <xf numFmtId="211" fontId="154" fillId="0" borderId="0" xfId="2" applyNumberFormat="1" applyFont="1" applyFill="1"/>
    <xf numFmtId="167" fontId="150" fillId="0" borderId="0" xfId="505" applyNumberFormat="1" applyFont="1"/>
    <xf numFmtId="37" fontId="169" fillId="3" borderId="0" xfId="2" applyNumberFormat="1" applyFont="1" applyFill="1"/>
    <xf numFmtId="4" fontId="93" fillId="0" borderId="34" xfId="313" applyNumberFormat="1" applyFont="1" applyBorder="1" applyAlignment="1">
      <alignment horizontal="center"/>
    </xf>
    <xf numFmtId="165" fontId="189" fillId="0" borderId="0" xfId="2" applyNumberFormat="1" applyFont="1" applyFill="1" applyProtection="1"/>
    <xf numFmtId="0" fontId="3" fillId="73" borderId="0" xfId="1" applyFont="1" applyFill="1"/>
    <xf numFmtId="0" fontId="3" fillId="73" borderId="3" xfId="1" applyFont="1" applyFill="1" applyBorder="1"/>
    <xf numFmtId="0" fontId="96" fillId="73" borderId="0" xfId="1" applyFont="1" applyFill="1"/>
    <xf numFmtId="7" fontId="96" fillId="73" borderId="0" xfId="1" applyNumberFormat="1" applyFont="1" applyFill="1"/>
    <xf numFmtId="0" fontId="5" fillId="73" borderId="0" xfId="1" applyFont="1" applyFill="1"/>
    <xf numFmtId="0" fontId="151" fillId="73" borderId="1" xfId="1" applyFont="1" applyFill="1" applyBorder="1"/>
    <xf numFmtId="0" fontId="150" fillId="73" borderId="1" xfId="1" applyFont="1" applyFill="1" applyBorder="1"/>
    <xf numFmtId="0" fontId="3" fillId="73" borderId="0" xfId="1" applyFont="1" applyFill="1" applyAlignment="1">
      <alignment wrapText="1"/>
    </xf>
    <xf numFmtId="0" fontId="96" fillId="73" borderId="1" xfId="1" applyFont="1" applyFill="1" applyBorder="1" applyAlignment="1">
      <alignment wrapText="1"/>
    </xf>
    <xf numFmtId="0" fontId="96" fillId="73" borderId="1" xfId="1" applyFont="1" applyFill="1" applyBorder="1"/>
    <xf numFmtId="0" fontId="108" fillId="73" borderId="0" xfId="321" applyFont="1" applyFill="1"/>
    <xf numFmtId="0" fontId="5" fillId="73" borderId="4" xfId="321" applyFill="1" applyBorder="1"/>
    <xf numFmtId="0" fontId="150" fillId="73" borderId="0" xfId="321" applyFont="1" applyFill="1"/>
    <xf numFmtId="0" fontId="167" fillId="73" borderId="0" xfId="177" applyFont="1" applyFill="1"/>
    <xf numFmtId="0" fontId="3" fillId="73" borderId="0" xfId="177" applyFont="1" applyFill="1"/>
    <xf numFmtId="0" fontId="173" fillId="73" borderId="0" xfId="177" applyFont="1" applyFill="1"/>
    <xf numFmtId="43" fontId="96" fillId="73" borderId="1" xfId="177" applyNumberFormat="1" applyFont="1" applyFill="1" applyBorder="1"/>
    <xf numFmtId="43" fontId="173" fillId="73" borderId="1" xfId="177" applyNumberFormat="1" applyFont="1" applyFill="1" applyBorder="1"/>
    <xf numFmtId="0" fontId="85" fillId="73" borderId="0" xfId="177" applyFont="1" applyFill="1"/>
    <xf numFmtId="0" fontId="96" fillId="73" borderId="0" xfId="177" applyFont="1" applyFill="1"/>
    <xf numFmtId="0" fontId="104" fillId="73" borderId="4" xfId="320" applyFont="1" applyFill="1" applyBorder="1" applyAlignment="1" applyProtection="1">
      <alignment horizontal="left"/>
    </xf>
    <xf numFmtId="0" fontId="104" fillId="73" borderId="4" xfId="320" applyFont="1" applyFill="1" applyBorder="1" applyProtection="1"/>
    <xf numFmtId="9" fontId="104" fillId="73" borderId="4" xfId="505" applyFont="1" applyFill="1" applyBorder="1" applyProtection="1"/>
    <xf numFmtId="9" fontId="104" fillId="73" borderId="4" xfId="505" quotePrefix="1" applyFont="1" applyFill="1" applyBorder="1" applyAlignment="1" applyProtection="1">
      <alignment horizontal="left"/>
    </xf>
    <xf numFmtId="0" fontId="160" fillId="73" borderId="0" xfId="320" applyFont="1" applyFill="1"/>
    <xf numFmtId="9" fontId="160" fillId="73" borderId="0" xfId="505" applyFont="1" applyFill="1" applyAlignment="1" applyProtection="1">
      <alignment horizontal="right"/>
    </xf>
    <xf numFmtId="9" fontId="154" fillId="3" borderId="0" xfId="505" applyFont="1" applyFill="1" applyProtection="1"/>
    <xf numFmtId="261" fontId="150" fillId="0" borderId="0" xfId="2" applyNumberFormat="1" applyFont="1"/>
    <xf numFmtId="261" fontId="150" fillId="0" borderId="44" xfId="2" applyNumberFormat="1" applyFont="1" applyBorder="1"/>
    <xf numFmtId="37" fontId="151" fillId="3" borderId="0" xfId="94" applyNumberFormat="1" applyFont="1" applyFill="1" applyProtection="1"/>
    <xf numFmtId="37" fontId="150" fillId="3" borderId="0" xfId="2" applyNumberFormat="1" applyFont="1" applyFill="1" applyProtection="1"/>
    <xf numFmtId="5" fontId="150" fillId="3" borderId="0" xfId="177" applyNumberFormat="1" applyFont="1" applyFill="1" applyAlignment="1">
      <alignment horizontal="right"/>
    </xf>
    <xf numFmtId="37" fontId="150" fillId="3" borderId="0" xfId="177" applyNumberFormat="1" applyFont="1" applyFill="1" applyAlignment="1">
      <alignment horizontal="right"/>
    </xf>
    <xf numFmtId="259" fontId="150" fillId="3" borderId="0" xfId="1" applyNumberFormat="1" applyFont="1" applyFill="1"/>
    <xf numFmtId="167" fontId="156" fillId="0" borderId="44" xfId="207" applyNumberFormat="1" applyFont="1" applyBorder="1" applyProtection="1"/>
    <xf numFmtId="211" fontId="156" fillId="3" borderId="0" xfId="2" applyNumberFormat="1" applyFont="1" applyFill="1"/>
    <xf numFmtId="211" fontId="156" fillId="0" borderId="0" xfId="2" applyNumberFormat="1" applyFont="1" applyFill="1"/>
    <xf numFmtId="211" fontId="156" fillId="3" borderId="44" xfId="2" applyNumberFormat="1" applyFont="1" applyFill="1" applyBorder="1"/>
    <xf numFmtId="164" fontId="150" fillId="3" borderId="0" xfId="2" applyNumberFormat="1" applyFont="1" applyFill="1"/>
    <xf numFmtId="5" fontId="154" fillId="3" borderId="0" xfId="506" applyNumberFormat="1" applyFont="1" applyFill="1" applyProtection="1"/>
    <xf numFmtId="0" fontId="5" fillId="3" borderId="0" xfId="321" applyFill="1"/>
    <xf numFmtId="260" fontId="154" fillId="0" borderId="0" xfId="177" applyNumberFormat="1" applyFont="1"/>
    <xf numFmtId="165" fontId="154" fillId="0" borderId="0" xfId="2" applyNumberFormat="1" applyFont="1" applyFill="1" applyAlignment="1">
      <alignment horizontal="right"/>
    </xf>
    <xf numFmtId="167" fontId="150" fillId="74" borderId="0" xfId="207" applyNumberFormat="1" applyFont="1" applyFill="1"/>
    <xf numFmtId="167" fontId="150" fillId="74" borderId="44" xfId="207" applyNumberFormat="1" applyFont="1" applyFill="1" applyBorder="1"/>
    <xf numFmtId="167" fontId="5" fillId="40" borderId="0" xfId="207" applyNumberFormat="1" applyFill="1" applyBorder="1"/>
    <xf numFmtId="9" fontId="154" fillId="74" borderId="0" xfId="505" applyFont="1" applyFill="1" applyProtection="1"/>
    <xf numFmtId="164" fontId="150" fillId="74" borderId="0" xfId="2" applyNumberFormat="1" applyFont="1" applyFill="1"/>
    <xf numFmtId="9" fontId="150" fillId="74" borderId="0" xfId="2" applyNumberFormat="1" applyFont="1" applyFill="1"/>
    <xf numFmtId="5" fontId="154" fillId="74" borderId="0" xfId="506" applyNumberFormat="1" applyFont="1" applyFill="1" applyProtection="1"/>
    <xf numFmtId="9" fontId="189" fillId="74" borderId="0" xfId="2" applyNumberFormat="1" applyFont="1" applyFill="1"/>
    <xf numFmtId="9" fontId="189" fillId="0" borderId="0" xfId="2" applyNumberFormat="1" applyFont="1"/>
    <xf numFmtId="9" fontId="167" fillId="0" borderId="1" xfId="505" applyFont="1" applyFill="1" applyBorder="1"/>
    <xf numFmtId="211" fontId="5" fillId="0" borderId="0" xfId="321" applyNumberFormat="1"/>
    <xf numFmtId="167" fontId="190" fillId="0" borderId="0" xfId="207" applyNumberFormat="1" applyFont="1" applyFill="1"/>
    <xf numFmtId="167" fontId="154" fillId="3" borderId="0" xfId="505" applyNumberFormat="1" applyFont="1" applyFill="1"/>
    <xf numFmtId="0" fontId="150" fillId="0" borderId="57" xfId="321" applyFont="1" applyBorder="1"/>
    <xf numFmtId="37" fontId="150" fillId="0" borderId="57" xfId="2" applyNumberFormat="1" applyFont="1" applyFill="1" applyBorder="1" applyAlignment="1" applyProtection="1">
      <alignment horizontal="right"/>
    </xf>
    <xf numFmtId="211" fontId="150" fillId="0" borderId="57" xfId="2" applyNumberFormat="1" applyFont="1" applyBorder="1"/>
    <xf numFmtId="165" fontId="150" fillId="0" borderId="57" xfId="2" applyNumberFormat="1" applyFont="1" applyFill="1" applyBorder="1"/>
    <xf numFmtId="9" fontId="3" fillId="0" borderId="1" xfId="505" applyFont="1" applyFill="1" applyBorder="1"/>
    <xf numFmtId="262" fontId="170" fillId="0" borderId="0" xfId="177" applyNumberFormat="1" applyFont="1" applyAlignment="1">
      <alignment horizontal="center"/>
    </xf>
    <xf numFmtId="167" fontId="3" fillId="0" borderId="1" xfId="505" applyNumberFormat="1" applyFont="1" applyFill="1" applyBorder="1"/>
    <xf numFmtId="9" fontId="151" fillId="0" borderId="0" xfId="505" applyFont="1" applyFill="1" applyAlignment="1" applyProtection="1">
      <alignment horizontal="right"/>
    </xf>
    <xf numFmtId="167" fontId="169" fillId="0" borderId="44" xfId="207" applyNumberFormat="1" applyFont="1" applyBorder="1" applyAlignment="1" applyProtection="1">
      <alignment horizontal="right"/>
    </xf>
    <xf numFmtId="37" fontId="150" fillId="0" borderId="44" xfId="505" applyNumberFormat="1" applyFont="1" applyFill="1" applyBorder="1" applyAlignment="1" applyProtection="1">
      <alignment horizontal="right"/>
    </xf>
    <xf numFmtId="211" fontId="150" fillId="0" borderId="57" xfId="2" applyNumberFormat="1" applyFont="1" applyFill="1" applyBorder="1"/>
    <xf numFmtId="2" fontId="150" fillId="0" borderId="0" xfId="505" applyNumberFormat="1" applyFont="1" applyFill="1" applyAlignment="1" applyProtection="1">
      <alignment horizontal="right"/>
    </xf>
    <xf numFmtId="259" fontId="97" fillId="0" borderId="0" xfId="320" applyNumberFormat="1"/>
    <xf numFmtId="211" fontId="0" fillId="0" borderId="0" xfId="318" applyNumberFormat="1" applyFont="1"/>
    <xf numFmtId="9" fontId="0" fillId="0" borderId="0" xfId="505" applyFont="1" applyAlignment="1">
      <alignment horizontal="right"/>
    </xf>
    <xf numFmtId="211" fontId="0" fillId="0" borderId="0" xfId="505" applyNumberFormat="1" applyFont="1"/>
    <xf numFmtId="0" fontId="191" fillId="0" borderId="0" xfId="321" applyFont="1"/>
    <xf numFmtId="0" fontId="150" fillId="0" borderId="0" xfId="507" applyFont="1" applyAlignment="1">
      <alignment horizontal="left" indent="1"/>
    </xf>
    <xf numFmtId="0" fontId="5" fillId="0" borderId="0" xfId="321" applyAlignment="1">
      <alignment horizontal="left" indent="1"/>
    </xf>
    <xf numFmtId="0" fontId="6" fillId="0" borderId="0" xfId="321" applyFont="1" applyAlignment="1">
      <alignment horizontal="left" indent="1"/>
    </xf>
    <xf numFmtId="211" fontId="192" fillId="0" borderId="0" xfId="2" applyNumberFormat="1" applyFont="1" applyFill="1" applyBorder="1"/>
    <xf numFmtId="211" fontId="0" fillId="0" borderId="0" xfId="0" applyNumberFormat="1"/>
    <xf numFmtId="44" fontId="0" fillId="0" borderId="0" xfId="506" applyFont="1"/>
    <xf numFmtId="211" fontId="193" fillId="0" borderId="0" xfId="318" applyNumberFormat="1" applyFont="1"/>
    <xf numFmtId="9" fontId="151" fillId="0" borderId="0" xfId="505" applyFont="1" applyFill="1" applyBorder="1" applyAlignment="1" applyProtection="1"/>
    <xf numFmtId="215" fontId="0" fillId="0" borderId="0" xfId="0" applyNumberFormat="1"/>
    <xf numFmtId="167" fontId="0" fillId="0" borderId="0" xfId="505" applyNumberFormat="1" applyFont="1"/>
    <xf numFmtId="37" fontId="150" fillId="0" borderId="0" xfId="505" applyNumberFormat="1" applyFont="1" applyFill="1" applyProtection="1"/>
    <xf numFmtId="211" fontId="150" fillId="0" borderId="0" xfId="321" applyNumberFormat="1" applyFont="1"/>
    <xf numFmtId="9" fontId="5" fillId="0" borderId="0" xfId="207" applyFont="1" applyBorder="1" applyAlignment="1">
      <alignment horizontal="center"/>
    </xf>
    <xf numFmtId="9" fontId="194" fillId="0" borderId="0" xfId="505" applyFont="1"/>
    <xf numFmtId="9" fontId="195" fillId="0" borderId="0" xfId="0" applyNumberFormat="1" applyFont="1"/>
    <xf numFmtId="9" fontId="151" fillId="0" borderId="24" xfId="505" applyFont="1" applyBorder="1" applyAlignment="1">
      <alignment horizontal="center"/>
    </xf>
    <xf numFmtId="9" fontId="151" fillId="0" borderId="8" xfId="505" applyFont="1" applyBorder="1" applyAlignment="1">
      <alignment horizontal="center"/>
    </xf>
    <xf numFmtId="9" fontId="159" fillId="0" borderId="0" xfId="505" applyFont="1"/>
    <xf numFmtId="211" fontId="159" fillId="0" borderId="0" xfId="318" applyNumberFormat="1" applyFont="1"/>
    <xf numFmtId="211" fontId="159" fillId="0" borderId="0" xfId="505" applyNumberFormat="1" applyFont="1"/>
    <xf numFmtId="0" fontId="195" fillId="0" borderId="0" xfId="0" applyFont="1"/>
    <xf numFmtId="9" fontId="195" fillId="0" borderId="0" xfId="505" applyFont="1"/>
    <xf numFmtId="167" fontId="150" fillId="0" borderId="0" xfId="505" applyNumberFormat="1" applyFont="1" applyFill="1"/>
    <xf numFmtId="7" fontId="150" fillId="3" borderId="0" xfId="94" applyNumberFormat="1" applyFont="1" applyFill="1" applyProtection="1"/>
    <xf numFmtId="5" fontId="150" fillId="3" borderId="0" xfId="94" applyNumberFormat="1" applyFont="1" applyFill="1" applyProtection="1"/>
    <xf numFmtId="7" fontId="151" fillId="3" borderId="0" xfId="94" applyNumberFormat="1" applyFont="1" applyFill="1" applyProtection="1"/>
    <xf numFmtId="9" fontId="150" fillId="0" borderId="2" xfId="505" applyFont="1" applyFill="1" applyBorder="1" applyAlignment="1">
      <alignment horizontal="centerContinuous"/>
    </xf>
    <xf numFmtId="0" fontId="151" fillId="0" borderId="3" xfId="317" applyFont="1" applyBorder="1" applyAlignment="1">
      <alignment horizontal="center"/>
    </xf>
    <xf numFmtId="7" fontId="150" fillId="0" borderId="0" xfId="94" applyNumberFormat="1" applyFont="1" applyProtection="1"/>
    <xf numFmtId="211" fontId="150" fillId="0" borderId="44" xfId="318" applyNumberFormat="1" applyFont="1" applyFill="1" applyBorder="1" applyProtection="1"/>
    <xf numFmtId="211" fontId="150" fillId="0" borderId="0" xfId="318" applyNumberFormat="1" applyFont="1" applyFill="1" applyProtection="1"/>
    <xf numFmtId="211" fontId="150" fillId="0" borderId="44" xfId="318" applyNumberFormat="1" applyFont="1" applyBorder="1" applyAlignment="1" applyProtection="1">
      <alignment horizontal="right"/>
    </xf>
    <xf numFmtId="211" fontId="150" fillId="0" borderId="0" xfId="318" applyNumberFormat="1" applyFont="1" applyAlignment="1" applyProtection="1">
      <alignment horizontal="right"/>
    </xf>
    <xf numFmtId="211" fontId="151" fillId="0" borderId="44" xfId="318" applyNumberFormat="1" applyFont="1" applyBorder="1" applyProtection="1"/>
    <xf numFmtId="211" fontId="151" fillId="0" borderId="0" xfId="318" applyNumberFormat="1" applyFont="1" applyProtection="1"/>
    <xf numFmtId="211" fontId="150" fillId="0" borderId="0" xfId="318" applyNumberFormat="1" applyFont="1"/>
    <xf numFmtId="211" fontId="3" fillId="0" borderId="1" xfId="318" applyNumberFormat="1" applyFont="1" applyFill="1" applyBorder="1"/>
    <xf numFmtId="211" fontId="167" fillId="0" borderId="1" xfId="318" applyNumberFormat="1" applyFont="1" applyFill="1" applyBorder="1"/>
    <xf numFmtId="167" fontId="154" fillId="0" borderId="0" xfId="207" applyNumberFormat="1" applyFont="1" applyProtection="1"/>
    <xf numFmtId="0" fontId="169" fillId="0" borderId="0" xfId="177" applyFont="1" applyAlignment="1">
      <alignment horizontal="left" indent="1"/>
    </xf>
    <xf numFmtId="0" fontId="3" fillId="0" borderId="0" xfId="1" applyFont="1" applyAlignment="1">
      <alignment horizontal="left" wrapText="1" indent="1"/>
    </xf>
    <xf numFmtId="211" fontId="3" fillId="0" borderId="0" xfId="318" applyNumberFormat="1" applyFont="1"/>
    <xf numFmtId="167" fontId="3" fillId="0" borderId="0" xfId="505" applyNumberFormat="1" applyFont="1"/>
    <xf numFmtId="211" fontId="3" fillId="0" borderId="57" xfId="318" applyNumberFormat="1" applyFont="1" applyBorder="1"/>
    <xf numFmtId="0" fontId="3" fillId="0" borderId="57" xfId="1" applyFont="1" applyBorder="1"/>
    <xf numFmtId="167" fontId="3" fillId="0" borderId="57" xfId="505" applyNumberFormat="1" applyFont="1" applyBorder="1"/>
    <xf numFmtId="37" fontId="3" fillId="0" borderId="57" xfId="1" applyNumberFormat="1" applyFont="1" applyBorder="1"/>
    <xf numFmtId="0" fontId="86" fillId="40" borderId="0" xfId="185" applyFont="1" applyFill="1" applyAlignment="1">
      <alignment horizontal="center"/>
    </xf>
    <xf numFmtId="211" fontId="151" fillId="0" borderId="0" xfId="2" applyNumberFormat="1" applyFont="1"/>
    <xf numFmtId="211" fontId="151" fillId="0" borderId="44" xfId="2" applyNumberFormat="1" applyFont="1" applyBorder="1"/>
    <xf numFmtId="0" fontId="184" fillId="75" borderId="0" xfId="0" applyFont="1" applyFill="1" applyAlignment="1">
      <alignment horizontal="centerContinuous"/>
    </xf>
    <xf numFmtId="0" fontId="159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84" fillId="75" borderId="0" xfId="0" applyFont="1" applyFill="1" applyAlignment="1">
      <alignment horizontal="center"/>
    </xf>
    <xf numFmtId="0" fontId="159" fillId="0" borderId="24" xfId="0" applyFont="1" applyBorder="1" applyAlignment="1">
      <alignment horizontal="center"/>
    </xf>
    <xf numFmtId="0" fontId="159" fillId="0" borderId="0" xfId="0" applyFont="1" applyAlignment="1">
      <alignment horizontal="center"/>
    </xf>
    <xf numFmtId="0" fontId="159" fillId="0" borderId="8" xfId="0" applyFont="1" applyBorder="1" applyAlignment="1">
      <alignment horizontal="center"/>
    </xf>
    <xf numFmtId="212" fontId="159" fillId="0" borderId="0" xfId="0" applyNumberFormat="1" applyFont="1"/>
    <xf numFmtId="212" fontId="196" fillId="76" borderId="0" xfId="0" applyNumberFormat="1" applyFont="1" applyFill="1"/>
    <xf numFmtId="263" fontId="159" fillId="0" borderId="0" xfId="0" applyNumberFormat="1" applyFont="1" applyAlignment="1">
      <alignment horizontal="center"/>
    </xf>
    <xf numFmtId="167" fontId="197" fillId="0" borderId="0" xfId="505" applyNumberFormat="1" applyFont="1"/>
    <xf numFmtId="212" fontId="0" fillId="0" borderId="24" xfId="0" applyNumberFormat="1" applyBorder="1"/>
    <xf numFmtId="212" fontId="0" fillId="0" borderId="0" xfId="0" applyNumberFormat="1"/>
    <xf numFmtId="167" fontId="0" fillId="0" borderId="8" xfId="505" applyNumberFormat="1" applyFont="1" applyBorder="1"/>
    <xf numFmtId="0" fontId="0" fillId="0" borderId="0" xfId="0" applyAlignment="1">
      <alignment horizontal="left" indent="1"/>
    </xf>
    <xf numFmtId="167" fontId="0" fillId="76" borderId="0" xfId="505" applyNumberFormat="1" applyFont="1" applyFill="1"/>
    <xf numFmtId="167" fontId="19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76" borderId="0" xfId="0" applyFill="1"/>
    <xf numFmtId="212" fontId="0" fillId="76" borderId="0" xfId="0" applyNumberFormat="1" applyFill="1"/>
    <xf numFmtId="167" fontId="0" fillId="76" borderId="0" xfId="0" applyNumberFormat="1" applyFill="1"/>
    <xf numFmtId="0" fontId="5" fillId="75" borderId="0" xfId="0" applyFont="1" applyFill="1"/>
    <xf numFmtId="7" fontId="0" fillId="0" borderId="24" xfId="0" applyNumberFormat="1" applyBorder="1"/>
    <xf numFmtId="7" fontId="0" fillId="0" borderId="0" xfId="0" applyNumberFormat="1"/>
    <xf numFmtId="7" fontId="159" fillId="0" borderId="0" xfId="0" applyNumberFormat="1" applyFont="1"/>
    <xf numFmtId="7" fontId="196" fillId="76" borderId="0" xfId="0" applyNumberFormat="1" applyFont="1" applyFill="1"/>
    <xf numFmtId="7" fontId="0" fillId="76" borderId="0" xfId="0" applyNumberFormat="1" applyFill="1"/>
    <xf numFmtId="0" fontId="187" fillId="75" borderId="0" xfId="0" applyFont="1" applyFill="1"/>
    <xf numFmtId="211" fontId="107" fillId="0" borderId="0" xfId="318" applyNumberFormat="1" applyFont="1" applyFill="1"/>
    <xf numFmtId="211" fontId="169" fillId="0" borderId="0" xfId="318" applyNumberFormat="1" applyFont="1" applyAlignment="1">
      <alignment horizontal="center"/>
    </xf>
    <xf numFmtId="37" fontId="151" fillId="0" borderId="0" xfId="2" applyNumberFormat="1" applyFont="1"/>
    <xf numFmtId="37" fontId="170" fillId="0" borderId="0" xfId="2" applyNumberFormat="1" applyFont="1"/>
    <xf numFmtId="0" fontId="197" fillId="0" borderId="0" xfId="0" applyFont="1"/>
    <xf numFmtId="212" fontId="197" fillId="0" borderId="24" xfId="0" applyNumberFormat="1" applyFont="1" applyBorder="1"/>
    <xf numFmtId="212" fontId="197" fillId="0" borderId="0" xfId="0" applyNumberFormat="1" applyFont="1"/>
    <xf numFmtId="167" fontId="197" fillId="0" borderId="8" xfId="505" applyNumberFormat="1" applyFont="1" applyBorder="1"/>
    <xf numFmtId="7" fontId="197" fillId="0" borderId="24" xfId="0" applyNumberFormat="1" applyFont="1" applyBorder="1"/>
    <xf numFmtId="7" fontId="197" fillId="0" borderId="0" xfId="0" applyNumberFormat="1" applyFont="1"/>
    <xf numFmtId="167" fontId="150" fillId="0" borderId="44" xfId="1" applyNumberFormat="1" applyFont="1" applyBorder="1"/>
    <xf numFmtId="167" fontId="150" fillId="0" borderId="0" xfId="1" applyNumberFormat="1" applyFont="1"/>
    <xf numFmtId="211" fontId="1" fillId="0" borderId="0" xfId="318" applyNumberFormat="1" applyFont="1"/>
    <xf numFmtId="211" fontId="198" fillId="2" borderId="4" xfId="318" quotePrefix="1" applyNumberFormat="1" applyFont="1" applyFill="1" applyBorder="1" applyAlignment="1" applyProtection="1">
      <alignment horizontal="left"/>
    </xf>
    <xf numFmtId="167" fontId="106" fillId="0" borderId="0" xfId="505" applyNumberFormat="1" applyFont="1" applyFill="1"/>
    <xf numFmtId="37" fontId="169" fillId="0" borderId="57" xfId="177" applyNumberFormat="1" applyFont="1" applyBorder="1"/>
    <xf numFmtId="164" fontId="169" fillId="0" borderId="57" xfId="177" applyNumberFormat="1" applyFont="1" applyBorder="1"/>
    <xf numFmtId="37" fontId="169" fillId="0" borderId="57" xfId="2" applyNumberFormat="1" applyFont="1" applyBorder="1"/>
    <xf numFmtId="37" fontId="151" fillId="0" borderId="57" xfId="2" applyNumberFormat="1" applyFont="1" applyBorder="1"/>
    <xf numFmtId="167" fontId="150" fillId="0" borderId="57" xfId="505" applyNumberFormat="1" applyFont="1" applyBorder="1"/>
    <xf numFmtId="37" fontId="150" fillId="0" borderId="57" xfId="2" applyNumberFormat="1" applyFont="1" applyBorder="1"/>
    <xf numFmtId="167" fontId="1" fillId="0" borderId="8" xfId="505" applyNumberFormat="1" applyFont="1" applyBorder="1"/>
    <xf numFmtId="9" fontId="165" fillId="3" borderId="0" xfId="505" quotePrefix="1" applyFont="1" applyFill="1" applyBorder="1"/>
    <xf numFmtId="0" fontId="151" fillId="0" borderId="4" xfId="1" applyFont="1" applyBorder="1" applyAlignment="1">
      <alignment horizontal="center"/>
    </xf>
    <xf numFmtId="0" fontId="151" fillId="0" borderId="58" xfId="177" applyFont="1" applyBorder="1" applyAlignment="1">
      <alignment horizontal="center"/>
    </xf>
    <xf numFmtId="0" fontId="151" fillId="0" borderId="2" xfId="177" applyFont="1" applyBorder="1" applyAlignment="1">
      <alignment horizontal="center"/>
    </xf>
    <xf numFmtId="0" fontId="151" fillId="0" borderId="62" xfId="177" applyFont="1" applyBorder="1" applyAlignment="1">
      <alignment horizontal="center"/>
    </xf>
    <xf numFmtId="0" fontId="111" fillId="0" borderId="0" xfId="320" applyFont="1" applyAlignment="1">
      <alignment wrapText="1"/>
    </xf>
    <xf numFmtId="9" fontId="151" fillId="0" borderId="60" xfId="505" applyFont="1" applyFill="1" applyBorder="1" applyAlignment="1">
      <alignment horizontal="center"/>
    </xf>
    <xf numFmtId="9" fontId="151" fillId="0" borderId="59" xfId="505" applyFont="1" applyFill="1" applyBorder="1" applyAlignment="1">
      <alignment horizontal="center"/>
    </xf>
    <xf numFmtId="9" fontId="151" fillId="0" borderId="61" xfId="505" applyFont="1" applyFill="1" applyBorder="1" applyAlignment="1">
      <alignment horizontal="center"/>
    </xf>
  </cellXfs>
  <cellStyles count="562">
    <cellStyle name="$" xfId="4" xr:uid="{00000000-0005-0000-0000-000000000000}"/>
    <cellStyle name="$m" xfId="5" xr:uid="{00000000-0005-0000-0000-000001000000}"/>
    <cellStyle name="%" xfId="6" xr:uid="{00000000-0005-0000-0000-000002000000}"/>
    <cellStyle name="_1.3.07 SA Closing Package DEC" xfId="322" xr:uid="{00000000-0005-0000-0000-000003000000}"/>
    <cellStyle name="_10 Q108 Revenue by Theatre with 06 restmt" xfId="323" xr:uid="{00000000-0005-0000-0000-000004000000}"/>
    <cellStyle name="_11.29.06 Closing Pack SA November" xfId="324" xr:uid="{00000000-0005-0000-0000-000005000000}"/>
    <cellStyle name="_2.28.07 Closing Package Feb" xfId="325" xr:uid="{00000000-0005-0000-0000-000006000000}"/>
    <cellStyle name="_3.24.07 Final SA PL and PF Items" xfId="326" xr:uid="{00000000-0005-0000-0000-000007000000}"/>
    <cellStyle name="_Budget Scenarios with Different Net Shipments Apr 28" xfId="327" xr:uid="{00000000-0005-0000-0000-000008000000}"/>
    <cellStyle name="_Cisco Q2 FY'07 P&amp;L" xfId="328" xr:uid="{00000000-0005-0000-0000-000009000000}"/>
    <cellStyle name="_Cisco-Linksys Performance Summary July 05" xfId="329" xr:uid="{00000000-0005-0000-0000-00000A000000}"/>
    <cellStyle name="_FP&amp;A Consolidated Forecast Q4FY'07" xfId="330" xr:uid="{00000000-0005-0000-0000-00000B000000}"/>
    <cellStyle name="_FY'07 Plan vs forecast 01-04-07" xfId="331" xr:uid="{00000000-0005-0000-0000-00000C000000}"/>
    <cellStyle name="_FY07REVIEWPACKAGEFORJIM" xfId="332" xr:uid="{00000000-0005-0000-0000-00000D000000}"/>
    <cellStyle name="_Inventory schedule for December Cisco Mtg" xfId="333" xr:uid="{00000000-0005-0000-0000-00000E000000}"/>
    <cellStyle name="_Japan" xfId="334" xr:uid="{00000000-0005-0000-0000-00000F000000}"/>
    <cellStyle name="_Margin Forecast Detail FY06 with Net Shipped" xfId="335" xr:uid="{00000000-0005-0000-0000-000010000000}"/>
    <cellStyle name="_Mfg Schedules as of 1.26.07 Values" xfId="336" xr:uid="{00000000-0005-0000-0000-000011000000}"/>
    <cellStyle name="_Mfg Schedules as of 3.24.07_values1" xfId="337" xr:uid="{00000000-0005-0000-0000-000012000000}"/>
    <cellStyle name="_Mfg Schedules as of 4.27.07 values" xfId="338" xr:uid="{00000000-0005-0000-0000-000013000000}"/>
    <cellStyle name="_Mfg Schedules as of 5.26.07 values" xfId="339" xr:uid="{00000000-0005-0000-0000-000014000000}"/>
    <cellStyle name="_Q3 Customer Revenue" xfId="340" xr:uid="{00000000-0005-0000-0000-000015000000}"/>
    <cellStyle name="_SEC_B_Q107" xfId="341" xr:uid="{00000000-0005-0000-0000-000016000000}"/>
    <cellStyle name="_Sheet6" xfId="342" xr:uid="{00000000-0005-0000-0000-000017000000}"/>
    <cellStyle name="_Sheet7" xfId="343" xr:uid="{00000000-0005-0000-0000-000018000000}"/>
    <cellStyle name="_WW Recruitment Activity wk  Ending 05-6-05 A" xfId="344" xr:uid="{00000000-0005-0000-0000-000019000000}"/>
    <cellStyle name="¦__x001d_" xfId="345" xr:uid="{00000000-0005-0000-0000-00001A000000}"/>
    <cellStyle name="’Ê‰Ý_Region Orders (2)" xfId="346" xr:uid="{00000000-0005-0000-0000-00001B000000}"/>
    <cellStyle name="=C:\WINNT35\SYSTEM32\COMMAND.COM" xfId="7" xr:uid="{00000000-0005-0000-0000-00001C000000}"/>
    <cellStyle name="=C:\WINNT35\SYSTEM32\COMMAND.COM 2" xfId="8" xr:uid="{00000000-0005-0000-0000-00001D000000}"/>
    <cellStyle name="•W_Pacific Region P&amp;L" xfId="347" xr:uid="{00000000-0005-0000-0000-00001E000000}"/>
    <cellStyle name="0%" xfId="348" xr:uid="{00000000-0005-0000-0000-00001F000000}"/>
    <cellStyle name="0,0_x000d__x000a_NA_x000d__x000a_" xfId="349" xr:uid="{00000000-0005-0000-0000-000020000000}"/>
    <cellStyle name="0.0%" xfId="350" xr:uid="{00000000-0005-0000-0000-000021000000}"/>
    <cellStyle name="0.00%" xfId="351" xr:uid="{00000000-0005-0000-0000-000022000000}"/>
    <cellStyle name="20% - Accent1" xfId="525" builtinId="30" customBuiltin="1"/>
    <cellStyle name="20% - Accent1 2" xfId="9" xr:uid="{00000000-0005-0000-0000-000024000000}"/>
    <cellStyle name="20% - Accent1 3" xfId="10" xr:uid="{00000000-0005-0000-0000-000025000000}"/>
    <cellStyle name="20% - Accent2" xfId="528" builtinId="34" customBuiltin="1"/>
    <cellStyle name="20% - Accent2 2" xfId="11" xr:uid="{00000000-0005-0000-0000-000027000000}"/>
    <cellStyle name="20% - Accent2 3" xfId="12" xr:uid="{00000000-0005-0000-0000-000028000000}"/>
    <cellStyle name="20% - Accent3" xfId="531" builtinId="38" customBuiltin="1"/>
    <cellStyle name="20% - Accent3 2" xfId="13" xr:uid="{00000000-0005-0000-0000-00002A000000}"/>
    <cellStyle name="20% - Accent3 3" xfId="14" xr:uid="{00000000-0005-0000-0000-00002B000000}"/>
    <cellStyle name="20% - Accent4" xfId="534" builtinId="42" customBuiltin="1"/>
    <cellStyle name="20% - Accent4 2" xfId="15" xr:uid="{00000000-0005-0000-0000-00002D000000}"/>
    <cellStyle name="20% - Accent4 3" xfId="16" xr:uid="{00000000-0005-0000-0000-00002E000000}"/>
    <cellStyle name="20% - Accent5" xfId="537" builtinId="46" customBuiltin="1"/>
    <cellStyle name="20% - Accent5 2" xfId="17" xr:uid="{00000000-0005-0000-0000-000030000000}"/>
    <cellStyle name="20% - Accent5 3" xfId="18" xr:uid="{00000000-0005-0000-0000-000031000000}"/>
    <cellStyle name="20% - Accent6" xfId="540" builtinId="50" customBuiltin="1"/>
    <cellStyle name="20% - Accent6 2" xfId="19" xr:uid="{00000000-0005-0000-0000-000033000000}"/>
    <cellStyle name="20% - Accent6 3" xfId="20" xr:uid="{00000000-0005-0000-0000-000034000000}"/>
    <cellStyle name="40% - Accent1" xfId="526" builtinId="31" customBuiltin="1"/>
    <cellStyle name="40% - Accent1 2" xfId="21" xr:uid="{00000000-0005-0000-0000-000036000000}"/>
    <cellStyle name="40% - Accent1 3" xfId="22" xr:uid="{00000000-0005-0000-0000-000037000000}"/>
    <cellStyle name="40% - Accent2" xfId="529" builtinId="35" customBuiltin="1"/>
    <cellStyle name="40% - Accent2 2" xfId="23" xr:uid="{00000000-0005-0000-0000-000039000000}"/>
    <cellStyle name="40% - Accent2 3" xfId="24" xr:uid="{00000000-0005-0000-0000-00003A000000}"/>
    <cellStyle name="40% - Accent3" xfId="532" builtinId="39" customBuiltin="1"/>
    <cellStyle name="40% - Accent3 2" xfId="25" xr:uid="{00000000-0005-0000-0000-00003C000000}"/>
    <cellStyle name="40% - Accent3 3" xfId="26" xr:uid="{00000000-0005-0000-0000-00003D000000}"/>
    <cellStyle name="40% - Accent4" xfId="535" builtinId="43" customBuiltin="1"/>
    <cellStyle name="40% - Accent4 2" xfId="27" xr:uid="{00000000-0005-0000-0000-00003F000000}"/>
    <cellStyle name="40% - Accent4 3" xfId="28" xr:uid="{00000000-0005-0000-0000-000040000000}"/>
    <cellStyle name="40% - Accent5" xfId="538" builtinId="47" customBuiltin="1"/>
    <cellStyle name="40% - Accent5 2" xfId="29" xr:uid="{00000000-0005-0000-0000-000042000000}"/>
    <cellStyle name="40% - Accent5 3" xfId="30" xr:uid="{00000000-0005-0000-0000-000043000000}"/>
    <cellStyle name="40% - Accent6" xfId="541" builtinId="51" customBuiltin="1"/>
    <cellStyle name="40% - Accent6 2" xfId="31" xr:uid="{00000000-0005-0000-0000-000045000000}"/>
    <cellStyle name="40% - Accent6 3" xfId="32" xr:uid="{00000000-0005-0000-0000-000046000000}"/>
    <cellStyle name="60% - Accent1 2" xfId="33" xr:uid="{00000000-0005-0000-0000-000047000000}"/>
    <cellStyle name="60% - Accent1 3" xfId="34" xr:uid="{00000000-0005-0000-0000-000048000000}"/>
    <cellStyle name="60% - Accent1 4" xfId="545" xr:uid="{00000000-0005-0000-0000-000049000000}"/>
    <cellStyle name="60% - Accent2 2" xfId="35" xr:uid="{00000000-0005-0000-0000-00004A000000}"/>
    <cellStyle name="60% - Accent2 3" xfId="36" xr:uid="{00000000-0005-0000-0000-00004B000000}"/>
    <cellStyle name="60% - Accent2 4" xfId="546" xr:uid="{00000000-0005-0000-0000-00004C000000}"/>
    <cellStyle name="60% - Accent3 2" xfId="37" xr:uid="{00000000-0005-0000-0000-00004D000000}"/>
    <cellStyle name="60% - Accent3 3" xfId="38" xr:uid="{00000000-0005-0000-0000-00004E000000}"/>
    <cellStyle name="60% - Accent3 4" xfId="547" xr:uid="{00000000-0005-0000-0000-00004F000000}"/>
    <cellStyle name="60% - Accent4 2" xfId="39" xr:uid="{00000000-0005-0000-0000-000050000000}"/>
    <cellStyle name="60% - Accent4 3" xfId="40" xr:uid="{00000000-0005-0000-0000-000051000000}"/>
    <cellStyle name="60% - Accent4 4" xfId="548" xr:uid="{00000000-0005-0000-0000-000052000000}"/>
    <cellStyle name="60% - Accent5 2" xfId="41" xr:uid="{00000000-0005-0000-0000-000053000000}"/>
    <cellStyle name="60% - Accent5 3" xfId="42" xr:uid="{00000000-0005-0000-0000-000054000000}"/>
    <cellStyle name="60% - Accent5 4" xfId="549" xr:uid="{00000000-0005-0000-0000-000055000000}"/>
    <cellStyle name="60% - Accent6 2" xfId="43" xr:uid="{00000000-0005-0000-0000-000056000000}"/>
    <cellStyle name="60% - Accent6 3" xfId="44" xr:uid="{00000000-0005-0000-0000-000057000000}"/>
    <cellStyle name="60% - Accent6 4" xfId="550" xr:uid="{00000000-0005-0000-0000-000058000000}"/>
    <cellStyle name="Accent1" xfId="524" builtinId="29" customBuiltin="1"/>
    <cellStyle name="Accent1 2" xfId="45" xr:uid="{00000000-0005-0000-0000-00005A000000}"/>
    <cellStyle name="Accent1 3" xfId="46" xr:uid="{00000000-0005-0000-0000-00005B000000}"/>
    <cellStyle name="Accent2" xfId="527" builtinId="33" customBuiltin="1"/>
    <cellStyle name="Accent2 2" xfId="47" xr:uid="{00000000-0005-0000-0000-00005D000000}"/>
    <cellStyle name="Accent2 3" xfId="48" xr:uid="{00000000-0005-0000-0000-00005E000000}"/>
    <cellStyle name="Accent3" xfId="530" builtinId="37" customBuiltin="1"/>
    <cellStyle name="Accent3 2" xfId="49" xr:uid="{00000000-0005-0000-0000-000060000000}"/>
    <cellStyle name="Accent3 3" xfId="50" xr:uid="{00000000-0005-0000-0000-000061000000}"/>
    <cellStyle name="Accent4" xfId="533" builtinId="41" customBuiltin="1"/>
    <cellStyle name="Accent4 2" xfId="51" xr:uid="{00000000-0005-0000-0000-000063000000}"/>
    <cellStyle name="Accent4 3" xfId="52" xr:uid="{00000000-0005-0000-0000-000064000000}"/>
    <cellStyle name="Accent5" xfId="536" builtinId="45" customBuiltin="1"/>
    <cellStyle name="Accent5 2" xfId="53" xr:uid="{00000000-0005-0000-0000-000066000000}"/>
    <cellStyle name="Accent5 3" xfId="54" xr:uid="{00000000-0005-0000-0000-000067000000}"/>
    <cellStyle name="Accent6" xfId="539" builtinId="49" customBuiltin="1"/>
    <cellStyle name="Accent6 2" xfId="55" xr:uid="{00000000-0005-0000-0000-000069000000}"/>
    <cellStyle name="Accent6 3" xfId="56" xr:uid="{00000000-0005-0000-0000-00006A000000}"/>
    <cellStyle name="active" xfId="352" xr:uid="{00000000-0005-0000-0000-00006B000000}"/>
    <cellStyle name="Actual Date" xfId="353" xr:uid="{00000000-0005-0000-0000-00006C000000}"/>
    <cellStyle name="args.style" xfId="354" xr:uid="{00000000-0005-0000-0000-00006D000000}"/>
    <cellStyle name="Arial 10" xfId="57" xr:uid="{00000000-0005-0000-0000-00006E000000}"/>
    <cellStyle name="Arial 12" xfId="58" xr:uid="{00000000-0005-0000-0000-00006F000000}"/>
    <cellStyle name="Arial10b" xfId="355" xr:uid="{00000000-0005-0000-0000-000070000000}"/>
    <cellStyle name="AutoFormat Options" xfId="356" xr:uid="{00000000-0005-0000-0000-000071000000}"/>
    <cellStyle name="Bad" xfId="514" builtinId="27" customBuiltin="1"/>
    <cellStyle name="Bad 2" xfId="59" xr:uid="{00000000-0005-0000-0000-000073000000}"/>
    <cellStyle name="Bad 3" xfId="60" xr:uid="{00000000-0005-0000-0000-000074000000}"/>
    <cellStyle name="Body" xfId="357" xr:uid="{00000000-0005-0000-0000-000075000000}"/>
    <cellStyle name="Bold12" xfId="61" xr:uid="{00000000-0005-0000-0000-000076000000}"/>
    <cellStyle name="Bold12 2" xfId="62" xr:uid="{00000000-0005-0000-0000-000077000000}"/>
    <cellStyle name="BoldItal12" xfId="63" xr:uid="{00000000-0005-0000-0000-000078000000}"/>
    <cellStyle name="BoldItal12 2" xfId="64" xr:uid="{00000000-0005-0000-0000-000079000000}"/>
    <cellStyle name="British Pound" xfId="65" xr:uid="{00000000-0005-0000-0000-00007A000000}"/>
    <cellStyle name="Calc Currency (0)" xfId="358" xr:uid="{00000000-0005-0000-0000-00007B000000}"/>
    <cellStyle name="Calc Currency (2)" xfId="359" xr:uid="{00000000-0005-0000-0000-00007C000000}"/>
    <cellStyle name="Calc Percent (0)" xfId="360" xr:uid="{00000000-0005-0000-0000-00007D000000}"/>
    <cellStyle name="Calc Percent (1)" xfId="361" xr:uid="{00000000-0005-0000-0000-00007E000000}"/>
    <cellStyle name="Calc Percent (2)" xfId="362" xr:uid="{00000000-0005-0000-0000-00007F000000}"/>
    <cellStyle name="Calc Units (0)" xfId="363" xr:uid="{00000000-0005-0000-0000-000080000000}"/>
    <cellStyle name="Calc Units (1)" xfId="364" xr:uid="{00000000-0005-0000-0000-000081000000}"/>
    <cellStyle name="Calc Units (2)" xfId="365" xr:uid="{00000000-0005-0000-0000-000082000000}"/>
    <cellStyle name="Calculation" xfId="517" builtinId="22" customBuiltin="1"/>
    <cellStyle name="Calculation 2" xfId="66" xr:uid="{00000000-0005-0000-0000-000084000000}"/>
    <cellStyle name="Calculation 3" xfId="67" xr:uid="{00000000-0005-0000-0000-000085000000}"/>
    <cellStyle name="Check Cell" xfId="519" builtinId="23" customBuiltin="1"/>
    <cellStyle name="Check Cell 2" xfId="68" xr:uid="{00000000-0005-0000-0000-000087000000}"/>
    <cellStyle name="Check Cell 3" xfId="69" xr:uid="{00000000-0005-0000-0000-000088000000}"/>
    <cellStyle name="Col Heads" xfId="366" xr:uid="{00000000-0005-0000-0000-000089000000}"/>
    <cellStyle name="colheadleft" xfId="70" xr:uid="{00000000-0005-0000-0000-00008A000000}"/>
    <cellStyle name="colheadright" xfId="71" xr:uid="{00000000-0005-0000-0000-00008B000000}"/>
    <cellStyle name="ColumnAttributeAbovePrompt" xfId="367" xr:uid="{00000000-0005-0000-0000-00008C000000}"/>
    <cellStyle name="ColumnAttributePrompt" xfId="368" xr:uid="{00000000-0005-0000-0000-00008D000000}"/>
    <cellStyle name="ColumnAttributeValue" xfId="369" xr:uid="{00000000-0005-0000-0000-00008E000000}"/>
    <cellStyle name="ColumnHeadingPrompt" xfId="370" xr:uid="{00000000-0005-0000-0000-00008F000000}"/>
    <cellStyle name="ColumnHeadingValue" xfId="371" xr:uid="{00000000-0005-0000-0000-000090000000}"/>
    <cellStyle name="columns" xfId="72" xr:uid="{00000000-0005-0000-0000-000091000000}"/>
    <cellStyle name="Comma" xfId="318" builtinId="3"/>
    <cellStyle name="comma (,0)" xfId="372" xr:uid="{00000000-0005-0000-0000-000093000000}"/>
    <cellStyle name="comma (,1)" xfId="373" xr:uid="{00000000-0005-0000-0000-000094000000}"/>
    <cellStyle name="comma (,2)" xfId="374" xr:uid="{00000000-0005-0000-0000-000095000000}"/>
    <cellStyle name="comma (0)" xfId="73" xr:uid="{00000000-0005-0000-0000-000096000000}"/>
    <cellStyle name="comma (K0)" xfId="375" xr:uid="{00000000-0005-0000-0000-000097000000}"/>
    <cellStyle name="comma (K1)" xfId="376" xr:uid="{00000000-0005-0000-0000-000098000000}"/>
    <cellStyle name="comma (M0)" xfId="377" xr:uid="{00000000-0005-0000-0000-000099000000}"/>
    <cellStyle name="comma (M1)" xfId="378" xr:uid="{00000000-0005-0000-0000-00009A000000}"/>
    <cellStyle name="Comma [00]" xfId="379" xr:uid="{00000000-0005-0000-0000-00009B000000}"/>
    <cellStyle name="Comma 0" xfId="74" xr:uid="{00000000-0005-0000-0000-00009C000000}"/>
    <cellStyle name="Comma 0*" xfId="75" xr:uid="{00000000-0005-0000-0000-00009D000000}"/>
    <cellStyle name="Comma 10 2" xfId="76" xr:uid="{00000000-0005-0000-0000-00009E000000}"/>
    <cellStyle name="Comma 2" xfId="2" xr:uid="{00000000-0005-0000-0000-00009F000000}"/>
    <cellStyle name="Comma 2 10 2" xfId="77" xr:uid="{00000000-0005-0000-0000-0000A0000000}"/>
    <cellStyle name="Comma 2 2" xfId="78" xr:uid="{00000000-0005-0000-0000-0000A1000000}"/>
    <cellStyle name="Comma 2 2 2" xfId="79" xr:uid="{00000000-0005-0000-0000-0000A2000000}"/>
    <cellStyle name="Comma 2 3" xfId="80" xr:uid="{00000000-0005-0000-0000-0000A3000000}"/>
    <cellStyle name="Comma 2 4" xfId="81" xr:uid="{00000000-0005-0000-0000-0000A4000000}"/>
    <cellStyle name="Comma 2 4 2" xfId="82" xr:uid="{00000000-0005-0000-0000-0000A5000000}"/>
    <cellStyle name="Comma 2 5" xfId="556" xr:uid="{00000000-0005-0000-0000-0000A6000000}"/>
    <cellStyle name="Comma 2_Blue Matrix Upload Template Modified" xfId="83" xr:uid="{00000000-0005-0000-0000-0000A7000000}"/>
    <cellStyle name="Comma 3" xfId="84" xr:uid="{00000000-0005-0000-0000-0000A8000000}"/>
    <cellStyle name="Comma 3 2" xfId="85" xr:uid="{00000000-0005-0000-0000-0000A9000000}"/>
    <cellStyle name="Comma 4" xfId="86" xr:uid="{00000000-0005-0000-0000-0000AA000000}"/>
    <cellStyle name="Comma 4 2" xfId="87" xr:uid="{00000000-0005-0000-0000-0000AB000000}"/>
    <cellStyle name="Comma 5" xfId="88" xr:uid="{00000000-0005-0000-0000-0000AC000000}"/>
    <cellStyle name="Comma 6" xfId="89" xr:uid="{00000000-0005-0000-0000-0000AD000000}"/>
    <cellStyle name="Comma 7" xfId="551" xr:uid="{00000000-0005-0000-0000-0000AE000000}"/>
    <cellStyle name="Comma 8" xfId="559" xr:uid="{00000000-0005-0000-0000-0000AF000000}"/>
    <cellStyle name="Comma,0" xfId="380" xr:uid="{00000000-0005-0000-0000-0000B0000000}"/>
    <cellStyle name="Comma,1" xfId="381" xr:uid="{00000000-0005-0000-0000-0000B1000000}"/>
    <cellStyle name="Comma,2" xfId="382" xr:uid="{00000000-0005-0000-0000-0000B2000000}"/>
    <cellStyle name="Comma_EMC072000" xfId="314" xr:uid="{00000000-0005-0000-0000-0000B3000000}"/>
    <cellStyle name="Comma0" xfId="90" xr:uid="{00000000-0005-0000-0000-0000B4000000}"/>
    <cellStyle name="Compressed" xfId="383" xr:uid="{00000000-0005-0000-0000-0000B5000000}"/>
    <cellStyle name="Copied" xfId="384" xr:uid="{00000000-0005-0000-0000-0000B6000000}"/>
    <cellStyle name="COST1" xfId="385" xr:uid="{00000000-0005-0000-0000-0000B7000000}"/>
    <cellStyle name="curr" xfId="91" xr:uid="{00000000-0005-0000-0000-0000B8000000}"/>
    <cellStyle name="Currency" xfId="506" builtinId="4"/>
    <cellStyle name="Currency (,0)" xfId="386" xr:uid="{00000000-0005-0000-0000-0000BA000000}"/>
    <cellStyle name="currency (,1)" xfId="387" xr:uid="{00000000-0005-0000-0000-0000BB000000}"/>
    <cellStyle name="currency (,2)" xfId="388" xr:uid="{00000000-0005-0000-0000-0000BC000000}"/>
    <cellStyle name="currency (K0)" xfId="389" xr:uid="{00000000-0005-0000-0000-0000BD000000}"/>
    <cellStyle name="currency (K1)" xfId="390" xr:uid="{00000000-0005-0000-0000-0000BE000000}"/>
    <cellStyle name="currency (K㰰)" xfId="391" xr:uid="{00000000-0005-0000-0000-0000BF000000}"/>
    <cellStyle name="currency (M0)" xfId="392" xr:uid="{00000000-0005-0000-0000-0000C0000000}"/>
    <cellStyle name="currency (M1)" xfId="393" xr:uid="{00000000-0005-0000-0000-0000C1000000}"/>
    <cellStyle name="Currency [00]" xfId="394" xr:uid="{00000000-0005-0000-0000-0000C2000000}"/>
    <cellStyle name="Currency 0" xfId="92" xr:uid="{00000000-0005-0000-0000-0000C3000000}"/>
    <cellStyle name="Currency 2" xfId="93" xr:uid="{00000000-0005-0000-0000-0000C4000000}"/>
    <cellStyle name="Currency 2 2" xfId="94" xr:uid="{00000000-0005-0000-0000-0000C5000000}"/>
    <cellStyle name="Currency 2 3" xfId="95" xr:uid="{00000000-0005-0000-0000-0000C6000000}"/>
    <cellStyle name="Currency 2_Blue Matrix Upload Template Modified" xfId="96" xr:uid="{00000000-0005-0000-0000-0000C7000000}"/>
    <cellStyle name="Currency 3" xfId="97" xr:uid="{00000000-0005-0000-0000-0000C8000000}"/>
    <cellStyle name="Currency 3 2" xfId="98" xr:uid="{00000000-0005-0000-0000-0000C9000000}"/>
    <cellStyle name="Currency 4" xfId="99" xr:uid="{00000000-0005-0000-0000-0000CA000000}"/>
    <cellStyle name="Currency 5" xfId="100" xr:uid="{00000000-0005-0000-0000-0000CB000000}"/>
    <cellStyle name="Currency 6" xfId="552" xr:uid="{00000000-0005-0000-0000-0000CC000000}"/>
    <cellStyle name="Currency 7" xfId="560" xr:uid="{00000000-0005-0000-0000-0000CD000000}"/>
    <cellStyle name="Currency 8" xfId="101" xr:uid="{00000000-0005-0000-0000-0000CE000000}"/>
    <cellStyle name="Currency- no decimal" xfId="395" xr:uid="{00000000-0005-0000-0000-0000CF000000}"/>
    <cellStyle name="Currency,0" xfId="396" xr:uid="{00000000-0005-0000-0000-0000D0000000}"/>
    <cellStyle name="Currency,2" xfId="397" xr:uid="{00000000-0005-0000-0000-0000D1000000}"/>
    <cellStyle name="Currency_Cognex 4.17.07" xfId="316" xr:uid="{00000000-0005-0000-0000-0000D2000000}"/>
    <cellStyle name="Currency0" xfId="102" xr:uid="{00000000-0005-0000-0000-0000D3000000}"/>
    <cellStyle name="d_yield" xfId="103" xr:uid="{00000000-0005-0000-0000-0000D4000000}"/>
    <cellStyle name="Date" xfId="104" xr:uid="{00000000-0005-0000-0000-0000D5000000}"/>
    <cellStyle name="date (d/m/y)" xfId="398" xr:uid="{00000000-0005-0000-0000-0000D6000000}"/>
    <cellStyle name="date (m-y)" xfId="399" xr:uid="{00000000-0005-0000-0000-0000D7000000}"/>
    <cellStyle name="Date Aligned" xfId="105" xr:uid="{00000000-0005-0000-0000-0000D8000000}"/>
    <cellStyle name="Date Short" xfId="400" xr:uid="{00000000-0005-0000-0000-0000D9000000}"/>
    <cellStyle name="Dates" xfId="106" xr:uid="{00000000-0005-0000-0000-0000DA000000}"/>
    <cellStyle name="DblLineDollarAcct" xfId="401" xr:uid="{00000000-0005-0000-0000-0000DB000000}"/>
    <cellStyle name="DblLinePercent" xfId="402" xr:uid="{00000000-0005-0000-0000-0000DC000000}"/>
    <cellStyle name="DELTA" xfId="403" xr:uid="{00000000-0005-0000-0000-0000DD000000}"/>
    <cellStyle name="Detail GL" xfId="107" xr:uid="{00000000-0005-0000-0000-0000DE000000}"/>
    <cellStyle name="Detail GL 2" xfId="108" xr:uid="{00000000-0005-0000-0000-0000DF000000}"/>
    <cellStyle name="Dezimal [0]_pldt" xfId="404" xr:uid="{00000000-0005-0000-0000-0000E0000000}"/>
    <cellStyle name="Dezimal_pldt" xfId="405" xr:uid="{00000000-0005-0000-0000-0000E1000000}"/>
    <cellStyle name="Dollar" xfId="109" xr:uid="{00000000-0005-0000-0000-0000E2000000}"/>
    <cellStyle name="DollarAccounting" xfId="406" xr:uid="{00000000-0005-0000-0000-0000E3000000}"/>
    <cellStyle name="Dotted Line" xfId="110" xr:uid="{00000000-0005-0000-0000-0000E4000000}"/>
    <cellStyle name="Double Accounting" xfId="111" xr:uid="{00000000-0005-0000-0000-0000E5000000}"/>
    <cellStyle name="Enter Currency (0)" xfId="407" xr:uid="{00000000-0005-0000-0000-0000E6000000}"/>
    <cellStyle name="Enter Currency (2)" xfId="408" xr:uid="{00000000-0005-0000-0000-0000E7000000}"/>
    <cellStyle name="Enter Units (0)" xfId="409" xr:uid="{00000000-0005-0000-0000-0000E8000000}"/>
    <cellStyle name="Enter Units (1)" xfId="410" xr:uid="{00000000-0005-0000-0000-0000E9000000}"/>
    <cellStyle name="Enter Units (2)" xfId="411" xr:uid="{00000000-0005-0000-0000-0000EA000000}"/>
    <cellStyle name="Entered" xfId="412" xr:uid="{00000000-0005-0000-0000-0000EB000000}"/>
    <cellStyle name="eps" xfId="112" xr:uid="{00000000-0005-0000-0000-0000EC000000}"/>
    <cellStyle name="eps$" xfId="113" xr:uid="{00000000-0005-0000-0000-0000ED000000}"/>
    <cellStyle name="eps$A" xfId="114" xr:uid="{00000000-0005-0000-0000-0000EE000000}"/>
    <cellStyle name="eps$E" xfId="115" xr:uid="{00000000-0005-0000-0000-0000EF000000}"/>
    <cellStyle name="eps_Sheet1" xfId="116" xr:uid="{00000000-0005-0000-0000-0000F0000000}"/>
    <cellStyle name="epsA" xfId="117" xr:uid="{00000000-0005-0000-0000-0000F1000000}"/>
    <cellStyle name="epsE" xfId="118" xr:uid="{00000000-0005-0000-0000-0000F2000000}"/>
    <cellStyle name="Euro" xfId="413" xr:uid="{00000000-0005-0000-0000-0000F3000000}"/>
    <cellStyle name="Explanatory Text" xfId="522" builtinId="53" customBuiltin="1"/>
    <cellStyle name="Explanatory Text 2" xfId="119" xr:uid="{00000000-0005-0000-0000-0000F5000000}"/>
    <cellStyle name="Explanatory Text 3" xfId="120" xr:uid="{00000000-0005-0000-0000-0000F6000000}"/>
    <cellStyle name="Financials" xfId="121" xr:uid="{00000000-0005-0000-0000-0000F7000000}"/>
    <cellStyle name="Financials 2" xfId="122" xr:uid="{00000000-0005-0000-0000-0000F8000000}"/>
    <cellStyle name="Fixed" xfId="123" xr:uid="{00000000-0005-0000-0000-0000F9000000}"/>
    <cellStyle name="Footnote" xfId="124" xr:uid="{00000000-0005-0000-0000-0000FA000000}"/>
    <cellStyle name="fy_eps$" xfId="125" xr:uid="{00000000-0005-0000-0000-0000FB000000}"/>
    <cellStyle name="g_rate" xfId="126" xr:uid="{00000000-0005-0000-0000-0000FC000000}"/>
    <cellStyle name="Good" xfId="513" builtinId="26" customBuiltin="1"/>
    <cellStyle name="Good 2" xfId="127" xr:uid="{00000000-0005-0000-0000-0000FE000000}"/>
    <cellStyle name="Good 3" xfId="128" xr:uid="{00000000-0005-0000-0000-0000FF000000}"/>
    <cellStyle name="Grey" xfId="414" xr:uid="{00000000-0005-0000-0000-000000010000}"/>
    <cellStyle name="Hard Percent" xfId="129" xr:uid="{00000000-0005-0000-0000-000001010000}"/>
    <cellStyle name="Header" xfId="130" xr:uid="{00000000-0005-0000-0000-000002010000}"/>
    <cellStyle name="Header 2" xfId="131" xr:uid="{00000000-0005-0000-0000-000003010000}"/>
    <cellStyle name="Header_Blue Matrix Upload Template Modified" xfId="132" xr:uid="{00000000-0005-0000-0000-000004010000}"/>
    <cellStyle name="Header1" xfId="133" xr:uid="{00000000-0005-0000-0000-000005010000}"/>
    <cellStyle name="Header2" xfId="134" xr:uid="{00000000-0005-0000-0000-000006010000}"/>
    <cellStyle name="Heading 1" xfId="509" builtinId="16" customBuiltin="1"/>
    <cellStyle name="Heading 1 2" xfId="135" xr:uid="{00000000-0005-0000-0000-000008010000}"/>
    <cellStyle name="Heading 1 3" xfId="136" xr:uid="{00000000-0005-0000-0000-000009010000}"/>
    <cellStyle name="Heading 2" xfId="510" builtinId="17" customBuiltin="1"/>
    <cellStyle name="Heading 2 2" xfId="137" xr:uid="{00000000-0005-0000-0000-00000B010000}"/>
    <cellStyle name="Heading 2 3" xfId="138" xr:uid="{00000000-0005-0000-0000-00000C010000}"/>
    <cellStyle name="Heading 3" xfId="511" builtinId="18" customBuiltin="1"/>
    <cellStyle name="Heading 3 2" xfId="139" xr:uid="{00000000-0005-0000-0000-00000E010000}"/>
    <cellStyle name="Heading 3 3" xfId="140" xr:uid="{00000000-0005-0000-0000-00000F010000}"/>
    <cellStyle name="Heading 4" xfId="512" builtinId="19" customBuiltin="1"/>
    <cellStyle name="Heading 4 2" xfId="141" xr:uid="{00000000-0005-0000-0000-000011010000}"/>
    <cellStyle name="Heading 4 3" xfId="142" xr:uid="{00000000-0005-0000-0000-000012010000}"/>
    <cellStyle name="Heading1" xfId="415" xr:uid="{00000000-0005-0000-0000-000013010000}"/>
    <cellStyle name="Heading2" xfId="416" xr:uid="{00000000-0005-0000-0000-000014010000}"/>
    <cellStyle name="HEADINGS" xfId="417" xr:uid="{00000000-0005-0000-0000-000015010000}"/>
    <cellStyle name="Headings- Other" xfId="418" xr:uid="{00000000-0005-0000-0000-000016010000}"/>
    <cellStyle name="HEADINGS_09 Q303 Bookings by TG and PF" xfId="419" xr:uid="{00000000-0005-0000-0000-000017010000}"/>
    <cellStyle name="HEADINGSTOP" xfId="420" xr:uid="{00000000-0005-0000-0000-000018010000}"/>
    <cellStyle name="HeadlineStyle" xfId="143" xr:uid="{00000000-0005-0000-0000-000019010000}"/>
    <cellStyle name="HeadlineStyle 2" xfId="144" xr:uid="{00000000-0005-0000-0000-00001A010000}"/>
    <cellStyle name="HeadlineStyleJustified" xfId="145" xr:uid="{00000000-0005-0000-0000-00001B010000}"/>
    <cellStyle name="HeadlineStyleJustified 2" xfId="146" xr:uid="{00000000-0005-0000-0000-00001C010000}"/>
    <cellStyle name="Heavy Top Line" xfId="147" xr:uid="{00000000-0005-0000-0000-00001D010000}"/>
    <cellStyle name="HIGHLIGHT" xfId="421" xr:uid="{00000000-0005-0000-0000-00001E010000}"/>
    <cellStyle name="Hyperlink" xfId="319" builtinId="8"/>
    <cellStyle name="Hyperlink 2" xfId="148" xr:uid="{00000000-0005-0000-0000-000020010000}"/>
    <cellStyle name="Hyperlink 2 2" xfId="149" xr:uid="{00000000-0005-0000-0000-000021010000}"/>
    <cellStyle name="Hyperlink 3" xfId="150" xr:uid="{00000000-0005-0000-0000-000022010000}"/>
    <cellStyle name="Hyperlink 3 2" xfId="151" xr:uid="{00000000-0005-0000-0000-000023010000}"/>
    <cellStyle name="Hyperlink_Blue Matrix Upload Template Modified" xfId="152" xr:uid="{00000000-0005-0000-0000-000024010000}"/>
    <cellStyle name="Input" xfId="515" builtinId="20" customBuiltin="1"/>
    <cellStyle name="Input [yellow]" xfId="422" xr:uid="{00000000-0005-0000-0000-000026010000}"/>
    <cellStyle name="Input 2" xfId="153" xr:uid="{00000000-0005-0000-0000-000027010000}"/>
    <cellStyle name="Input 3" xfId="154" xr:uid="{00000000-0005-0000-0000-000028010000}"/>
    <cellStyle name="Input Cells" xfId="423" xr:uid="{00000000-0005-0000-0000-000029010000}"/>
    <cellStyle name="inverted heading" xfId="424" xr:uid="{00000000-0005-0000-0000-00002A010000}"/>
    <cellStyle name="Jun" xfId="425" xr:uid="{00000000-0005-0000-0000-00002B010000}"/>
    <cellStyle name="LineItemPrompt" xfId="426" xr:uid="{00000000-0005-0000-0000-00002C010000}"/>
    <cellStyle name="LineItemValue" xfId="427" xr:uid="{00000000-0005-0000-0000-00002D010000}"/>
    <cellStyle name="Link Currency (0)" xfId="428" xr:uid="{00000000-0005-0000-0000-00002E010000}"/>
    <cellStyle name="Link Currency (2)" xfId="429" xr:uid="{00000000-0005-0000-0000-00002F010000}"/>
    <cellStyle name="Link Units (0)" xfId="430" xr:uid="{00000000-0005-0000-0000-000030010000}"/>
    <cellStyle name="Link Units (1)" xfId="431" xr:uid="{00000000-0005-0000-0000-000031010000}"/>
    <cellStyle name="Link Units (2)" xfId="432" xr:uid="{00000000-0005-0000-0000-000032010000}"/>
    <cellStyle name="Linked Cell" xfId="518" builtinId="24" customBuiltin="1"/>
    <cellStyle name="Linked Cell 2" xfId="155" xr:uid="{00000000-0005-0000-0000-000034010000}"/>
    <cellStyle name="Linked Cell 3" xfId="156" xr:uid="{00000000-0005-0000-0000-000035010000}"/>
    <cellStyle name="Linked Cells" xfId="433" xr:uid="{00000000-0005-0000-0000-000036010000}"/>
    <cellStyle name="m" xfId="157" xr:uid="{00000000-0005-0000-0000-000037010000}"/>
    <cellStyle name="m$" xfId="158" xr:uid="{00000000-0005-0000-0000-000038010000}"/>
    <cellStyle name="Margins" xfId="159" xr:uid="{00000000-0005-0000-0000-000039010000}"/>
    <cellStyle name="Milliers [0]_!!!GO" xfId="434" xr:uid="{00000000-0005-0000-0000-00003A010000}"/>
    <cellStyle name="Milliers_!!!GO" xfId="435" xr:uid="{00000000-0005-0000-0000-00003B010000}"/>
    <cellStyle name="mm" xfId="160" xr:uid="{00000000-0005-0000-0000-00003C010000}"/>
    <cellStyle name="Monétaire [0]_!!!GO" xfId="436" xr:uid="{00000000-0005-0000-0000-00003D010000}"/>
    <cellStyle name="Monétaire_!!!GO" xfId="437" xr:uid="{00000000-0005-0000-0000-00003E010000}"/>
    <cellStyle name="Multiple" xfId="161" xr:uid="{00000000-0005-0000-0000-00003F010000}"/>
    <cellStyle name="negativ" xfId="162" xr:uid="{00000000-0005-0000-0000-000040010000}"/>
    <cellStyle name="Neutral 2" xfId="163" xr:uid="{00000000-0005-0000-0000-000041010000}"/>
    <cellStyle name="Neutral 3" xfId="164" xr:uid="{00000000-0005-0000-0000-000042010000}"/>
    <cellStyle name="Neutral 4" xfId="543" xr:uid="{00000000-0005-0000-0000-000043010000}"/>
    <cellStyle name="no dec" xfId="438" xr:uid="{00000000-0005-0000-0000-000044010000}"/>
    <cellStyle name="nodollars" xfId="165" xr:uid="{00000000-0005-0000-0000-000045010000}"/>
    <cellStyle name="Normal" xfId="0" builtinId="0"/>
    <cellStyle name="Normal - Style1" xfId="166" xr:uid="{00000000-0005-0000-0000-000047010000}"/>
    <cellStyle name="Normal 10" xfId="167" xr:uid="{00000000-0005-0000-0000-000048010000}"/>
    <cellStyle name="Normal 11" xfId="168" xr:uid="{00000000-0005-0000-0000-000049010000}"/>
    <cellStyle name="Normal 12" xfId="169" xr:uid="{00000000-0005-0000-0000-00004A010000}"/>
    <cellStyle name="Normal 13" xfId="170" xr:uid="{00000000-0005-0000-0000-00004B010000}"/>
    <cellStyle name="Normal 14" xfId="171" xr:uid="{00000000-0005-0000-0000-00004C010000}"/>
    <cellStyle name="Normal 15" xfId="172" xr:uid="{00000000-0005-0000-0000-00004D010000}"/>
    <cellStyle name="Normal 16" xfId="173" xr:uid="{00000000-0005-0000-0000-00004E010000}"/>
    <cellStyle name="Normal 17" xfId="174" xr:uid="{00000000-0005-0000-0000-00004F010000}"/>
    <cellStyle name="Normal 18" xfId="175" xr:uid="{00000000-0005-0000-0000-000050010000}"/>
    <cellStyle name="Normal 19" xfId="176" xr:uid="{00000000-0005-0000-0000-000051010000}"/>
    <cellStyle name="Normal 2" xfId="1" xr:uid="{00000000-0005-0000-0000-000052010000}"/>
    <cellStyle name="Normal 2 2" xfId="177" xr:uid="{00000000-0005-0000-0000-000053010000}"/>
    <cellStyle name="Normal 2 2 2" xfId="178" xr:uid="{00000000-0005-0000-0000-000054010000}"/>
    <cellStyle name="Normal 2 2 3" xfId="179" xr:uid="{00000000-0005-0000-0000-000055010000}"/>
    <cellStyle name="Normal 2 2 4" xfId="507" xr:uid="{00000000-0005-0000-0000-000056010000}"/>
    <cellStyle name="Normal 2 3" xfId="180" xr:uid="{00000000-0005-0000-0000-000057010000}"/>
    <cellStyle name="Normal 2 3 2" xfId="181" xr:uid="{00000000-0005-0000-0000-000058010000}"/>
    <cellStyle name="Normal 2 4" xfId="182" xr:uid="{00000000-0005-0000-0000-000059010000}"/>
    <cellStyle name="Normal 2 5" xfId="553" xr:uid="{00000000-0005-0000-0000-00005A010000}"/>
    <cellStyle name="Normal 2_PKT_IS" xfId="439" xr:uid="{00000000-0005-0000-0000-00005B010000}"/>
    <cellStyle name="Normal 20" xfId="183" xr:uid="{00000000-0005-0000-0000-00005C010000}"/>
    <cellStyle name="Normal 21" xfId="320" xr:uid="{00000000-0005-0000-0000-00005D010000}"/>
    <cellStyle name="Normal 22" xfId="542" xr:uid="{00000000-0005-0000-0000-00005E010000}"/>
    <cellStyle name="Normal 23" xfId="544" xr:uid="{00000000-0005-0000-0000-00005F010000}"/>
    <cellStyle name="Normal 3" xfId="184" xr:uid="{00000000-0005-0000-0000-000060010000}"/>
    <cellStyle name="Normal 3 2" xfId="185" xr:uid="{00000000-0005-0000-0000-000061010000}"/>
    <cellStyle name="Normal 3 2 2" xfId="186" xr:uid="{00000000-0005-0000-0000-000062010000}"/>
    <cellStyle name="Normal 3 2 3" xfId="557" xr:uid="{00000000-0005-0000-0000-000063010000}"/>
    <cellStyle name="Normal 3 3" xfId="554" xr:uid="{00000000-0005-0000-0000-000064010000}"/>
    <cellStyle name="Normal 32" xfId="440" xr:uid="{00000000-0005-0000-0000-000065010000}"/>
    <cellStyle name="Normal 4" xfId="187" xr:uid="{00000000-0005-0000-0000-000066010000}"/>
    <cellStyle name="Normal 4 2" xfId="188" xr:uid="{00000000-0005-0000-0000-000067010000}"/>
    <cellStyle name="Normal 5" xfId="189" xr:uid="{00000000-0005-0000-0000-000068010000}"/>
    <cellStyle name="Normal 6" xfId="190" xr:uid="{00000000-0005-0000-0000-000069010000}"/>
    <cellStyle name="Normal 7" xfId="191" xr:uid="{00000000-0005-0000-0000-00006A010000}"/>
    <cellStyle name="Normal 8" xfId="192" xr:uid="{00000000-0005-0000-0000-00006B010000}"/>
    <cellStyle name="Normal 9" xfId="193" xr:uid="{00000000-0005-0000-0000-00006C010000}"/>
    <cellStyle name="Normal 9 10" xfId="194" xr:uid="{00000000-0005-0000-0000-00006D010000}"/>
    <cellStyle name="Normal- no dec. only" xfId="441" xr:uid="{00000000-0005-0000-0000-00006E010000}"/>
    <cellStyle name="Normal_Blue Matrix Upload Template Modified" xfId="313" xr:uid="{00000000-0005-0000-0000-00006F010000}"/>
    <cellStyle name="Normal_Cognex 4.17.07" xfId="312" xr:uid="{00000000-0005-0000-0000-000070010000}"/>
    <cellStyle name="Normal_EMC072000" xfId="315" xr:uid="{00000000-0005-0000-0000-000071010000}"/>
    <cellStyle name="Normal_Income Stm" xfId="317" xr:uid="{00000000-0005-0000-0000-000072010000}"/>
    <cellStyle name="Normal_rstn_is" xfId="321" xr:uid="{00000000-0005-0000-0000-000073010000}"/>
    <cellStyle name="Normal-1 decimal" xfId="442" xr:uid="{00000000-0005-0000-0000-000074010000}"/>
    <cellStyle name="NormalGB" xfId="195" xr:uid="{00000000-0005-0000-0000-000075010000}"/>
    <cellStyle name="Note" xfId="521" builtinId="10" customBuiltin="1"/>
    <cellStyle name="Note 2" xfId="196" xr:uid="{00000000-0005-0000-0000-000077010000}"/>
    <cellStyle name="Note 3" xfId="197" xr:uid="{00000000-0005-0000-0000-000078010000}"/>
    <cellStyle name="Number" xfId="198" xr:uid="{00000000-0005-0000-0000-000079010000}"/>
    <cellStyle name="number (0)" xfId="443" xr:uid="{00000000-0005-0000-0000-00007A010000}"/>
    <cellStyle name="number (1)" xfId="444" xr:uid="{00000000-0005-0000-0000-00007B010000}"/>
    <cellStyle name="number (2)" xfId="445" xr:uid="{00000000-0005-0000-0000-00007C010000}"/>
    <cellStyle name="Œ…‹æØ‚è [0.00]_!!!GO" xfId="446" xr:uid="{00000000-0005-0000-0000-00007D010000}"/>
    <cellStyle name="Œ…‹æØ‚è_!!!GO" xfId="447" xr:uid="{00000000-0005-0000-0000-00007E010000}"/>
    <cellStyle name="Output" xfId="516" builtinId="21" customBuiltin="1"/>
    <cellStyle name="Output 2" xfId="199" xr:uid="{00000000-0005-0000-0000-000080010000}"/>
    <cellStyle name="Output 3" xfId="200" xr:uid="{00000000-0005-0000-0000-000081010000}"/>
    <cellStyle name="Output Amounts" xfId="448" xr:uid="{00000000-0005-0000-0000-000082010000}"/>
    <cellStyle name="Output Column Headings" xfId="449" xr:uid="{00000000-0005-0000-0000-000083010000}"/>
    <cellStyle name="Output Line Items" xfId="450" xr:uid="{00000000-0005-0000-0000-000084010000}"/>
    <cellStyle name="Output Report Heading" xfId="451" xr:uid="{00000000-0005-0000-0000-000085010000}"/>
    <cellStyle name="Output Report Title" xfId="452" xr:uid="{00000000-0005-0000-0000-000086010000}"/>
    <cellStyle name="over" xfId="201" xr:uid="{00000000-0005-0000-0000-000087010000}"/>
    <cellStyle name="over 2" xfId="202" xr:uid="{00000000-0005-0000-0000-000088010000}"/>
    <cellStyle name="Page Number" xfId="203" xr:uid="{00000000-0005-0000-0000-000089010000}"/>
    <cellStyle name="pe" xfId="204" xr:uid="{00000000-0005-0000-0000-00008A010000}"/>
    <cellStyle name="PEG" xfId="205" xr:uid="{00000000-0005-0000-0000-00008B010000}"/>
    <cellStyle name="per.style" xfId="453" xr:uid="{00000000-0005-0000-0000-00008C010000}"/>
    <cellStyle name="Percent" xfId="505" builtinId="5"/>
    <cellStyle name="percent (0)" xfId="206" xr:uid="{00000000-0005-0000-0000-00008E010000}"/>
    <cellStyle name="percent (1)" xfId="454" xr:uid="{00000000-0005-0000-0000-00008F010000}"/>
    <cellStyle name="percent (2)" xfId="455" xr:uid="{00000000-0005-0000-0000-000090010000}"/>
    <cellStyle name="percent (3)" xfId="456" xr:uid="{00000000-0005-0000-0000-000091010000}"/>
    <cellStyle name="Percent [0]" xfId="457" xr:uid="{00000000-0005-0000-0000-000092010000}"/>
    <cellStyle name="Percent [00]" xfId="458" xr:uid="{00000000-0005-0000-0000-000093010000}"/>
    <cellStyle name="Percent [2]" xfId="459" xr:uid="{00000000-0005-0000-0000-000094010000}"/>
    <cellStyle name="Percent- 1 decimal" xfId="460" xr:uid="{00000000-0005-0000-0000-000095010000}"/>
    <cellStyle name="Percent 10" xfId="207" xr:uid="{00000000-0005-0000-0000-000096010000}"/>
    <cellStyle name="Percent 10 2" xfId="208" xr:uid="{00000000-0005-0000-0000-000097010000}"/>
    <cellStyle name="Percent 11" xfId="209" xr:uid="{00000000-0005-0000-0000-000098010000}"/>
    <cellStyle name="Percent 12" xfId="210" xr:uid="{00000000-0005-0000-0000-000099010000}"/>
    <cellStyle name="Percent 13" xfId="555" xr:uid="{00000000-0005-0000-0000-00009A010000}"/>
    <cellStyle name="Percent 14" xfId="561" xr:uid="{00000000-0005-0000-0000-00009B010000}"/>
    <cellStyle name="Percent 2" xfId="3" xr:uid="{00000000-0005-0000-0000-00009C010000}"/>
    <cellStyle name="Percent 2 2" xfId="211" xr:uid="{00000000-0005-0000-0000-00009D010000}"/>
    <cellStyle name="Percent 2 2 2" xfId="212" xr:uid="{00000000-0005-0000-0000-00009E010000}"/>
    <cellStyle name="Percent 2 2 3" xfId="213" xr:uid="{00000000-0005-0000-0000-00009F010000}"/>
    <cellStyle name="Percent 2 3" xfId="214" xr:uid="{00000000-0005-0000-0000-0000A0010000}"/>
    <cellStyle name="Percent 2 4" xfId="558" xr:uid="{00000000-0005-0000-0000-0000A1010000}"/>
    <cellStyle name="Percent 3" xfId="215" xr:uid="{00000000-0005-0000-0000-0000A2010000}"/>
    <cellStyle name="Percent 3 2" xfId="216" xr:uid="{00000000-0005-0000-0000-0000A3010000}"/>
    <cellStyle name="Percent 4" xfId="217" xr:uid="{00000000-0005-0000-0000-0000A4010000}"/>
    <cellStyle name="Percent 4 2" xfId="218" xr:uid="{00000000-0005-0000-0000-0000A5010000}"/>
    <cellStyle name="Percent 4 3" xfId="219" xr:uid="{00000000-0005-0000-0000-0000A6010000}"/>
    <cellStyle name="Percent 5" xfId="220" xr:uid="{00000000-0005-0000-0000-0000A7010000}"/>
    <cellStyle name="Percent 5 2" xfId="221" xr:uid="{00000000-0005-0000-0000-0000A8010000}"/>
    <cellStyle name="Percent 6" xfId="222" xr:uid="{00000000-0005-0000-0000-0000A9010000}"/>
    <cellStyle name="Percent 7" xfId="223" xr:uid="{00000000-0005-0000-0000-0000AA010000}"/>
    <cellStyle name="Percent 8" xfId="224" xr:uid="{00000000-0005-0000-0000-0000AB010000}"/>
    <cellStyle name="Percent 8 2" xfId="225" xr:uid="{00000000-0005-0000-0000-0000AC010000}"/>
    <cellStyle name="Percent 9" xfId="226" xr:uid="{00000000-0005-0000-0000-0000AD010000}"/>
    <cellStyle name="posit" xfId="227" xr:uid="{00000000-0005-0000-0000-0000AE010000}"/>
    <cellStyle name="PrePop Currency (0)" xfId="461" xr:uid="{00000000-0005-0000-0000-0000AF010000}"/>
    <cellStyle name="PrePop Currency (2)" xfId="462" xr:uid="{00000000-0005-0000-0000-0000B0010000}"/>
    <cellStyle name="PrePop Units (0)" xfId="463" xr:uid="{00000000-0005-0000-0000-0000B1010000}"/>
    <cellStyle name="PrePop Units (1)" xfId="464" xr:uid="{00000000-0005-0000-0000-0000B2010000}"/>
    <cellStyle name="PrePop Units (2)" xfId="465" xr:uid="{00000000-0005-0000-0000-0000B3010000}"/>
    <cellStyle name="price" xfId="228" xr:uid="{00000000-0005-0000-0000-0000B4010000}"/>
    <cellStyle name="pricing" xfId="466" xr:uid="{00000000-0005-0000-0000-0000B5010000}"/>
    <cellStyle name="PSChar" xfId="229" xr:uid="{00000000-0005-0000-0000-0000B6010000}"/>
    <cellStyle name="PSDate" xfId="230" xr:uid="{00000000-0005-0000-0000-0000B7010000}"/>
    <cellStyle name="PSDec" xfId="231" xr:uid="{00000000-0005-0000-0000-0000B8010000}"/>
    <cellStyle name="PSHeading" xfId="232" xr:uid="{00000000-0005-0000-0000-0000B9010000}"/>
    <cellStyle name="PSInt" xfId="233" xr:uid="{00000000-0005-0000-0000-0000BA010000}"/>
    <cellStyle name="PSSpacer" xfId="234" xr:uid="{00000000-0005-0000-0000-0000BB010000}"/>
    <cellStyle name="q" xfId="235" xr:uid="{00000000-0005-0000-0000-0000BC010000}"/>
    <cellStyle name="QEPS-h" xfId="236" xr:uid="{00000000-0005-0000-0000-0000BD010000}"/>
    <cellStyle name="QEPS-H1" xfId="237" xr:uid="{00000000-0005-0000-0000-0000BE010000}"/>
    <cellStyle name="range" xfId="238" xr:uid="{00000000-0005-0000-0000-0000BF010000}"/>
    <cellStyle name="RangeBelow" xfId="239" xr:uid="{00000000-0005-0000-0000-0000C0010000}"/>
    <cellStyle name="Ref Numbers" xfId="467" xr:uid="{00000000-0005-0000-0000-0000C1010000}"/>
    <cellStyle name="regstoresfromspecstores" xfId="468" xr:uid="{00000000-0005-0000-0000-0000C2010000}"/>
    <cellStyle name="ReportTitlePrompt" xfId="469" xr:uid="{00000000-0005-0000-0000-0000C3010000}"/>
    <cellStyle name="ReportTitleValue" xfId="470" xr:uid="{00000000-0005-0000-0000-0000C4010000}"/>
    <cellStyle name="RevList" xfId="471" xr:uid="{00000000-0005-0000-0000-0000C5010000}"/>
    <cellStyle name="Right" xfId="240" xr:uid="{00000000-0005-0000-0000-0000C6010000}"/>
    <cellStyle name="row1" xfId="472" xr:uid="{00000000-0005-0000-0000-0000C7010000}"/>
    <cellStyle name="RowAcctAbovePrompt" xfId="473" xr:uid="{00000000-0005-0000-0000-0000C8010000}"/>
    <cellStyle name="RowAcctSOBAbovePrompt" xfId="474" xr:uid="{00000000-0005-0000-0000-0000C9010000}"/>
    <cellStyle name="RowAcctSOBValue" xfId="475" xr:uid="{00000000-0005-0000-0000-0000CA010000}"/>
    <cellStyle name="RowAcctValue" xfId="476" xr:uid="{00000000-0005-0000-0000-0000CB010000}"/>
    <cellStyle name="RowAttrAbovePrompt" xfId="477" xr:uid="{00000000-0005-0000-0000-0000CC010000}"/>
    <cellStyle name="RowAttrValue" xfId="478" xr:uid="{00000000-0005-0000-0000-0000CD010000}"/>
    <cellStyle name="RowColSetAbovePrompt" xfId="479" xr:uid="{00000000-0005-0000-0000-0000CE010000}"/>
    <cellStyle name="RowColSetLeftPrompt" xfId="480" xr:uid="{00000000-0005-0000-0000-0000CF010000}"/>
    <cellStyle name="RowColSetValue" xfId="481" xr:uid="{00000000-0005-0000-0000-0000D0010000}"/>
    <cellStyle name="RowLeftPrompt" xfId="482" xr:uid="{00000000-0005-0000-0000-0000D1010000}"/>
    <cellStyle name="Salomon Logo" xfId="241" xr:uid="{00000000-0005-0000-0000-0000D2010000}"/>
    <cellStyle name="SampleUsingFormatMask" xfId="483" xr:uid="{00000000-0005-0000-0000-0000D3010000}"/>
    <cellStyle name="SampleWithNoFormatMask" xfId="484" xr:uid="{00000000-0005-0000-0000-0000D4010000}"/>
    <cellStyle name="SHADEDSTORES" xfId="485" xr:uid="{00000000-0005-0000-0000-0000D5010000}"/>
    <cellStyle name="Single Accounting" xfId="242" xr:uid="{00000000-0005-0000-0000-0000D6010000}"/>
    <cellStyle name="SingleLineAcctgn" xfId="486" xr:uid="{00000000-0005-0000-0000-0000D7010000}"/>
    <cellStyle name="SingleLinePercent" xfId="487" xr:uid="{00000000-0005-0000-0000-0000D8010000}"/>
    <cellStyle name="SingleTopDoubleBott" xfId="243" xr:uid="{00000000-0005-0000-0000-0000D9010000}"/>
    <cellStyle name="SingleTopDoubleBott 2" xfId="244" xr:uid="{00000000-0005-0000-0000-0000DA010000}"/>
    <cellStyle name="Source Line" xfId="488" xr:uid="{00000000-0005-0000-0000-0000DB010000}"/>
    <cellStyle name="specstores" xfId="489" xr:uid="{00000000-0005-0000-0000-0000DC010000}"/>
    <cellStyle name="Style 1" xfId="245" xr:uid="{00000000-0005-0000-0000-0000DD010000}"/>
    <cellStyle name="Style 2" xfId="490" xr:uid="{00000000-0005-0000-0000-0000DE010000}"/>
    <cellStyle name="Style 21" xfId="246" xr:uid="{00000000-0005-0000-0000-0000DF010000}"/>
    <cellStyle name="Style 22" xfId="247" xr:uid="{00000000-0005-0000-0000-0000E0010000}"/>
    <cellStyle name="Style 22 2" xfId="248" xr:uid="{00000000-0005-0000-0000-0000E1010000}"/>
    <cellStyle name="Style 22 3" xfId="249" xr:uid="{00000000-0005-0000-0000-0000E2010000}"/>
    <cellStyle name="Style 23" xfId="250" xr:uid="{00000000-0005-0000-0000-0000E3010000}"/>
    <cellStyle name="Style 24" xfId="251" xr:uid="{00000000-0005-0000-0000-0000E4010000}"/>
    <cellStyle name="Style 24 2" xfId="252" xr:uid="{00000000-0005-0000-0000-0000E5010000}"/>
    <cellStyle name="Style 24 3" xfId="253" xr:uid="{00000000-0005-0000-0000-0000E6010000}"/>
    <cellStyle name="Style 25" xfId="254" xr:uid="{00000000-0005-0000-0000-0000E7010000}"/>
    <cellStyle name="Style 26" xfId="255" xr:uid="{00000000-0005-0000-0000-0000E8010000}"/>
    <cellStyle name="Style 26 2" xfId="256" xr:uid="{00000000-0005-0000-0000-0000E9010000}"/>
    <cellStyle name="Style 26 3" xfId="257" xr:uid="{00000000-0005-0000-0000-0000EA010000}"/>
    <cellStyle name="Style 27" xfId="258" xr:uid="{00000000-0005-0000-0000-0000EB010000}"/>
    <cellStyle name="Style 28" xfId="259" xr:uid="{00000000-0005-0000-0000-0000EC010000}"/>
    <cellStyle name="Style 29" xfId="260" xr:uid="{00000000-0005-0000-0000-0000ED010000}"/>
    <cellStyle name="Style 29 2" xfId="261" xr:uid="{00000000-0005-0000-0000-0000EE010000}"/>
    <cellStyle name="Style 30" xfId="262" xr:uid="{00000000-0005-0000-0000-0000EF010000}"/>
    <cellStyle name="Style 30 2" xfId="263" xr:uid="{00000000-0005-0000-0000-0000F0010000}"/>
    <cellStyle name="Style 31" xfId="264" xr:uid="{00000000-0005-0000-0000-0000F1010000}"/>
    <cellStyle name="Style 31 2" xfId="265" xr:uid="{00000000-0005-0000-0000-0000F2010000}"/>
    <cellStyle name="Style 32" xfId="266" xr:uid="{00000000-0005-0000-0000-0000F3010000}"/>
    <cellStyle name="Style 33" xfId="267" xr:uid="{00000000-0005-0000-0000-0000F4010000}"/>
    <cellStyle name="Style 33 2" xfId="268" xr:uid="{00000000-0005-0000-0000-0000F5010000}"/>
    <cellStyle name="Style 34" xfId="269" xr:uid="{00000000-0005-0000-0000-0000F6010000}"/>
    <cellStyle name="Style 34 2" xfId="270" xr:uid="{00000000-0005-0000-0000-0000F7010000}"/>
    <cellStyle name="Style 35" xfId="271" xr:uid="{00000000-0005-0000-0000-0000F8010000}"/>
    <cellStyle name="Style 35 2" xfId="272" xr:uid="{00000000-0005-0000-0000-0000F9010000}"/>
    <cellStyle name="Style 36" xfId="273" xr:uid="{00000000-0005-0000-0000-0000FA010000}"/>
    <cellStyle name="Style 36 2" xfId="274" xr:uid="{00000000-0005-0000-0000-0000FB010000}"/>
    <cellStyle name="Style 39" xfId="275" xr:uid="{00000000-0005-0000-0000-0000FC010000}"/>
    <cellStyle name="Style 39 2" xfId="276" xr:uid="{00000000-0005-0000-0000-0000FD010000}"/>
    <cellStyle name="style1" xfId="491" xr:uid="{00000000-0005-0000-0000-0000FE010000}"/>
    <cellStyle name="SubRoutine" xfId="277" xr:uid="{00000000-0005-0000-0000-0000FF010000}"/>
    <cellStyle name="Subtotal" xfId="492" xr:uid="{00000000-0005-0000-0000-000000020000}"/>
    <cellStyle name="Table Head" xfId="278" xr:uid="{00000000-0005-0000-0000-000001020000}"/>
    <cellStyle name="Table Head Aligned" xfId="279" xr:uid="{00000000-0005-0000-0000-000002020000}"/>
    <cellStyle name="Table Head Blue" xfId="280" xr:uid="{00000000-0005-0000-0000-000003020000}"/>
    <cellStyle name="Table Head Green" xfId="281" xr:uid="{00000000-0005-0000-0000-000004020000}"/>
    <cellStyle name="Table Head_Val_Sum_Graph" xfId="282" xr:uid="{00000000-0005-0000-0000-000005020000}"/>
    <cellStyle name="Table Heading" xfId="493" xr:uid="{00000000-0005-0000-0000-000006020000}"/>
    <cellStyle name="Table Text" xfId="283" xr:uid="{00000000-0005-0000-0000-000007020000}"/>
    <cellStyle name="Table Title" xfId="284" xr:uid="{00000000-0005-0000-0000-000008020000}"/>
    <cellStyle name="Table Units" xfId="285" xr:uid="{00000000-0005-0000-0000-000009020000}"/>
    <cellStyle name="Table_Header" xfId="286" xr:uid="{00000000-0005-0000-0000-00000A020000}"/>
    <cellStyle name="TableBody" xfId="287" xr:uid="{00000000-0005-0000-0000-00000B020000}"/>
    <cellStyle name="TableColHeads" xfId="288" xr:uid="{00000000-0005-0000-0000-00000C020000}"/>
    <cellStyle name="tcn" xfId="289" xr:uid="{00000000-0005-0000-0000-00000D020000}"/>
    <cellStyle name="Text 1" xfId="290" xr:uid="{00000000-0005-0000-0000-00000E020000}"/>
    <cellStyle name="Text Head 1" xfId="291" xr:uid="{00000000-0005-0000-0000-00000F020000}"/>
    <cellStyle name="Text Indent A" xfId="494" xr:uid="{00000000-0005-0000-0000-000010020000}"/>
    <cellStyle name="Text Indent B" xfId="495" xr:uid="{00000000-0005-0000-0000-000011020000}"/>
    <cellStyle name="Text Indent C" xfId="496" xr:uid="{00000000-0005-0000-0000-000012020000}"/>
    <cellStyle name="Times 10" xfId="292" xr:uid="{00000000-0005-0000-0000-000013020000}"/>
    <cellStyle name="Times 12" xfId="293" xr:uid="{00000000-0005-0000-0000-000014020000}"/>
    <cellStyle name="Title" xfId="508" builtinId="15" customBuiltin="1"/>
    <cellStyle name="Title 2" xfId="294" xr:uid="{00000000-0005-0000-0000-000016020000}"/>
    <cellStyle name="Title 3" xfId="295" xr:uid="{00000000-0005-0000-0000-000017020000}"/>
    <cellStyle name="Title Line" xfId="497" xr:uid="{00000000-0005-0000-0000-000018020000}"/>
    <cellStyle name="title2" xfId="296" xr:uid="{00000000-0005-0000-0000-000019020000}"/>
    <cellStyle name="tn" xfId="297" xr:uid="{00000000-0005-0000-0000-00001A020000}"/>
    <cellStyle name="Top Line Light" xfId="298" xr:uid="{00000000-0005-0000-0000-00001B020000}"/>
    <cellStyle name="Top Line Light 2" xfId="299" xr:uid="{00000000-0005-0000-0000-00001C020000}"/>
    <cellStyle name="Top Row" xfId="498" xr:uid="{00000000-0005-0000-0000-00001D020000}"/>
    <cellStyle name="Total" xfId="523" builtinId="25" customBuiltin="1"/>
    <cellStyle name="Total 2" xfId="300" xr:uid="{00000000-0005-0000-0000-00001F020000}"/>
    <cellStyle name="Total 3" xfId="301" xr:uid="{00000000-0005-0000-0000-000020020000}"/>
    <cellStyle name="Total Row" xfId="499" xr:uid="{00000000-0005-0000-0000-000021020000}"/>
    <cellStyle name="Underline" xfId="302" xr:uid="{00000000-0005-0000-0000-000022020000}"/>
    <cellStyle name="Underline 2" xfId="303" xr:uid="{00000000-0005-0000-0000-000023020000}"/>
    <cellStyle name="Underline_Single" xfId="304" xr:uid="{00000000-0005-0000-0000-000024020000}"/>
    <cellStyle name="UnderlineDouble" xfId="305" xr:uid="{00000000-0005-0000-0000-000025020000}"/>
    <cellStyle name="UnderlineDouble 2" xfId="306" xr:uid="{00000000-0005-0000-0000-000026020000}"/>
    <cellStyle name="UploadThisRowValue" xfId="500" xr:uid="{00000000-0005-0000-0000-000027020000}"/>
    <cellStyle name="Währung [0]_pldt" xfId="501" xr:uid="{00000000-0005-0000-0000-000028020000}"/>
    <cellStyle name="Währung_pldt" xfId="502" xr:uid="{00000000-0005-0000-0000-000029020000}"/>
    <cellStyle name="Warning Text" xfId="520" builtinId="11" customBuiltin="1"/>
    <cellStyle name="Warning Text 2" xfId="307" xr:uid="{00000000-0005-0000-0000-00002B020000}"/>
    <cellStyle name="Warning Text 3" xfId="308" xr:uid="{00000000-0005-0000-0000-00002C020000}"/>
    <cellStyle name="year" xfId="309" xr:uid="{00000000-0005-0000-0000-00002D020000}"/>
    <cellStyle name="Yen" xfId="310" xr:uid="{00000000-0005-0000-0000-00002E020000}"/>
    <cellStyle name="桁区切り [0.0]" xfId="311" xr:uid="{00000000-0005-0000-0000-00002F020000}"/>
    <cellStyle name="標準_AR aging and Bad Debt reserve 10-13-03" xfId="503" xr:uid="{00000000-0005-0000-0000-000030020000}"/>
    <cellStyle name="通貨 [0.00]_Sheet1" xfId="504" xr:uid="{00000000-0005-0000-0000-000031020000}"/>
  </cellStyles>
  <dxfs count="0"/>
  <tableStyles count="0" defaultTableStyle="TableStyleMedium2" defaultPivotStyle="PivotStyleLight16"/>
  <colors>
    <mruColors>
      <color rgb="FF000099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Channel</a:t>
            </a:r>
            <a:r>
              <a:rPr lang="en-US" b="1" baseline="0">
                <a:solidFill>
                  <a:sysClr val="windowText" lastClr="000000"/>
                </a:solidFill>
              </a:rPr>
              <a:t> vs. Direct Sales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Charts!$A$5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Charts!$F$3:$P$4</c:f>
              <c:strCache>
                <c:ptCount val="11"/>
                <c:pt idx="0">
                  <c:v>1Q-Mar 22A</c:v>
                </c:pt>
                <c:pt idx="1">
                  <c:v>2Q-Jun 22A</c:v>
                </c:pt>
                <c:pt idx="2">
                  <c:v>3Q-Sep 22A</c:v>
                </c:pt>
                <c:pt idx="3">
                  <c:v>4Q-Dec 22A</c:v>
                </c:pt>
                <c:pt idx="4">
                  <c:v>1Q-Mar 23A</c:v>
                </c:pt>
                <c:pt idx="5">
                  <c:v>2Q-Jun 23A</c:v>
                </c:pt>
                <c:pt idx="6">
                  <c:v>3Q-Sep 23A</c:v>
                </c:pt>
                <c:pt idx="7">
                  <c:v>4Q-Dec 23A</c:v>
                </c:pt>
                <c:pt idx="8">
                  <c:v>1Q-Mar 24A</c:v>
                </c:pt>
                <c:pt idx="9">
                  <c:v>2Q-Jun 24A</c:v>
                </c:pt>
                <c:pt idx="10">
                  <c:v>3Q-Sep 24A</c:v>
                </c:pt>
              </c:strCache>
            </c:strRef>
          </c:cat>
          <c:val>
            <c:numRef>
              <c:f>Charts!$F$5:$P$5</c:f>
              <c:numCache>
                <c:formatCode>"$"#,##0.00</c:formatCode>
                <c:ptCount val="11"/>
                <c:pt idx="0">
                  <c:v>66452</c:v>
                </c:pt>
                <c:pt idx="1">
                  <c:v>70176</c:v>
                </c:pt>
                <c:pt idx="2">
                  <c:v>73235</c:v>
                </c:pt>
                <c:pt idx="3">
                  <c:v>74176.339999999967</c:v>
                </c:pt>
                <c:pt idx="4">
                  <c:v>75093</c:v>
                </c:pt>
                <c:pt idx="5">
                  <c:v>78818</c:v>
                </c:pt>
                <c:pt idx="6">
                  <c:v>80499</c:v>
                </c:pt>
                <c:pt idx="7">
                  <c:v>80578</c:v>
                </c:pt>
                <c:pt idx="8">
                  <c:v>80126</c:v>
                </c:pt>
                <c:pt idx="9">
                  <c:v>80303</c:v>
                </c:pt>
                <c:pt idx="10">
                  <c:v>81636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3-47EC-A976-89E5CF5CFA84}"/>
            </c:ext>
          </c:extLst>
        </c:ser>
        <c:ser>
          <c:idx val="2"/>
          <c:order val="2"/>
          <c:tx>
            <c:strRef>
              <c:f>Charts!$A$7</c:f>
              <c:strCache>
                <c:ptCount val="1"/>
                <c:pt idx="0">
                  <c:v>Channel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Charts!$F$3:$P$4</c:f>
              <c:strCache>
                <c:ptCount val="11"/>
                <c:pt idx="0">
                  <c:v>1Q-Mar 22A</c:v>
                </c:pt>
                <c:pt idx="1">
                  <c:v>2Q-Jun 22A</c:v>
                </c:pt>
                <c:pt idx="2">
                  <c:v>3Q-Sep 22A</c:v>
                </c:pt>
                <c:pt idx="3">
                  <c:v>4Q-Dec 22A</c:v>
                </c:pt>
                <c:pt idx="4">
                  <c:v>1Q-Mar 23A</c:v>
                </c:pt>
                <c:pt idx="5">
                  <c:v>2Q-Jun 23A</c:v>
                </c:pt>
                <c:pt idx="6">
                  <c:v>3Q-Sep 23A</c:v>
                </c:pt>
                <c:pt idx="7">
                  <c:v>4Q-Dec 23A</c:v>
                </c:pt>
                <c:pt idx="8">
                  <c:v>1Q-Mar 24A</c:v>
                </c:pt>
                <c:pt idx="9">
                  <c:v>2Q-Jun 24A</c:v>
                </c:pt>
                <c:pt idx="10">
                  <c:v>3Q-Sep 24A</c:v>
                </c:pt>
              </c:strCache>
            </c:strRef>
          </c:cat>
          <c:val>
            <c:numRef>
              <c:f>Charts!$F$7:$P$7</c:f>
              <c:numCache>
                <c:formatCode>"$"#,##0.00</c:formatCode>
                <c:ptCount val="11"/>
                <c:pt idx="0">
                  <c:v>46968</c:v>
                </c:pt>
                <c:pt idx="1">
                  <c:v>49717</c:v>
                </c:pt>
                <c:pt idx="2">
                  <c:v>52326</c:v>
                </c:pt>
                <c:pt idx="3">
                  <c:v>56672.66</c:v>
                </c:pt>
                <c:pt idx="4">
                  <c:v>55590</c:v>
                </c:pt>
                <c:pt idx="5">
                  <c:v>58391</c:v>
                </c:pt>
                <c:pt idx="6">
                  <c:v>61497</c:v>
                </c:pt>
                <c:pt idx="7">
                  <c:v>63992</c:v>
                </c:pt>
                <c:pt idx="8">
                  <c:v>65679</c:v>
                </c:pt>
                <c:pt idx="9">
                  <c:v>68405</c:v>
                </c:pt>
                <c:pt idx="10">
                  <c:v>72231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A3-47EC-A976-89E5CF5CFA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46792608"/>
        <c:axId val="1980837280"/>
      </c:barChart>
      <c:lineChart>
        <c:grouping val="standard"/>
        <c:varyColors val="0"/>
        <c:ser>
          <c:idx val="1"/>
          <c:order val="1"/>
          <c:tx>
            <c:strRef>
              <c:f>Charts!$A$6</c:f>
              <c:strCache>
                <c:ptCount val="1"/>
                <c:pt idx="0">
                  <c:v>Direct Yr-Yr Growth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0387722132471729E-3"/>
                  <c:y val="-5.45921644187540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5A3-47EC-A976-89E5CF5CFA84}"/>
                </c:ext>
              </c:extLst>
            </c:dLbl>
            <c:dLbl>
              <c:idx val="1"/>
              <c:layout>
                <c:manualLayout>
                  <c:x val="-8.6491652236416507E-3"/>
                  <c:y val="2.85894194418357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A3-47EC-A976-89E5CF5CFA84}"/>
                </c:ext>
              </c:extLst>
            </c:dLbl>
            <c:dLbl>
              <c:idx val="2"/>
              <c:layout>
                <c:manualLayout>
                  <c:x val="4.0387722132471729E-3"/>
                  <c:y val="3.5324341682723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5A3-47EC-A976-89E5CF5CFA84}"/>
                </c:ext>
              </c:extLst>
            </c:dLbl>
            <c:dLbl>
              <c:idx val="3"/>
              <c:layout>
                <c:manualLayout>
                  <c:x val="2.692514808831399E-3"/>
                  <c:y val="3.21130378933847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A3-47EC-A976-89E5CF5CFA84}"/>
                </c:ext>
              </c:extLst>
            </c:dLbl>
            <c:dLbl>
              <c:idx val="4"/>
              <c:layout>
                <c:manualLayout>
                  <c:x val="4.6104195481788844E-3"/>
                  <c:y val="-1.52905198776758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82-470F-8826-CA52ADADE657}"/>
                </c:ext>
              </c:extLst>
            </c:dLbl>
            <c:dLbl>
              <c:idx val="5"/>
              <c:layout>
                <c:manualLayout>
                  <c:x val="-4.0387722132471729E-3"/>
                  <c:y val="2.89017341040462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5A3-47EC-A976-89E5CF5CFA84}"/>
                </c:ext>
              </c:extLst>
            </c:dLbl>
            <c:dLbl>
              <c:idx val="6"/>
              <c:layout>
                <c:manualLayout>
                  <c:x val="-2.6925148088315473E-3"/>
                  <c:y val="2.89017341040461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A3-47EC-A976-89E5CF5CFA84}"/>
                </c:ext>
              </c:extLst>
            </c:dLbl>
            <c:dLbl>
              <c:idx val="7"/>
              <c:layout>
                <c:manualLayout>
                  <c:x val="-2.2715200146881481E-2"/>
                  <c:y val="4.81695568400770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5A3-47EC-A976-89E5CF5CFA84}"/>
                </c:ext>
              </c:extLst>
            </c:dLbl>
            <c:dLbl>
              <c:idx val="8"/>
              <c:layout>
                <c:manualLayout>
                  <c:x val="8.0775444264943458E-3"/>
                  <c:y val="3.21130378933847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A3-47EC-A976-89E5CF5CFA84}"/>
                </c:ext>
              </c:extLst>
            </c:dLbl>
            <c:dLbl>
              <c:idx val="9"/>
              <c:layout>
                <c:manualLayout>
                  <c:x val="1.0373443983402489E-2"/>
                  <c:y val="-1.8348623853211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82-470F-8826-CA52ADADE657}"/>
                </c:ext>
              </c:extLst>
            </c:dLbl>
            <c:dLbl>
              <c:idx val="10"/>
              <c:layout>
                <c:manualLayout>
                  <c:x val="8.0775821072158506E-3"/>
                  <c:y val="5.049724289051136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5A3-47EC-A976-89E5CF5CFA84}"/>
                </c:ext>
              </c:extLst>
            </c:dLbl>
            <c:dLbl>
              <c:idx val="11"/>
              <c:layout>
                <c:manualLayout>
                  <c:x val="8.0775425726792097E-3"/>
                  <c:y val="5.13808606294154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5A3-47EC-A976-89E5CF5CFA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Charts!$F$3:$P$4</c:f>
              <c:strCache>
                <c:ptCount val="11"/>
                <c:pt idx="0">
                  <c:v>1Q-Mar 22A</c:v>
                </c:pt>
                <c:pt idx="1">
                  <c:v>2Q-Jun 22A</c:v>
                </c:pt>
                <c:pt idx="2">
                  <c:v>3Q-Sep 22A</c:v>
                </c:pt>
                <c:pt idx="3">
                  <c:v>4Q-Dec 22A</c:v>
                </c:pt>
                <c:pt idx="4">
                  <c:v>1Q-Mar 23A</c:v>
                </c:pt>
                <c:pt idx="5">
                  <c:v>2Q-Jun 23A</c:v>
                </c:pt>
                <c:pt idx="6">
                  <c:v>3Q-Sep 23A</c:v>
                </c:pt>
                <c:pt idx="7">
                  <c:v>4Q-Dec 23A</c:v>
                </c:pt>
                <c:pt idx="8">
                  <c:v>1Q-Mar 24A</c:v>
                </c:pt>
                <c:pt idx="9">
                  <c:v>2Q-Jun 24A</c:v>
                </c:pt>
                <c:pt idx="10">
                  <c:v>3Q-Sep 24A</c:v>
                </c:pt>
              </c:strCache>
            </c:strRef>
          </c:cat>
          <c:val>
            <c:numRef>
              <c:f>Charts!$F$6:$P$6</c:f>
              <c:numCache>
                <c:formatCode>0.0%</c:formatCode>
                <c:ptCount val="11"/>
                <c:pt idx="0">
                  <c:v>0.14667310877967976</c:v>
                </c:pt>
                <c:pt idx="1">
                  <c:v>0.19383484740226598</c:v>
                </c:pt>
                <c:pt idx="2">
                  <c:v>0.18976833349579225</c:v>
                </c:pt>
                <c:pt idx="3">
                  <c:v>0.18663157894736782</c:v>
                </c:pt>
                <c:pt idx="4">
                  <c:v>0.13003370854150353</c:v>
                </c:pt>
                <c:pt idx="5">
                  <c:v>0.12314751481988151</c:v>
                </c:pt>
                <c:pt idx="6">
                  <c:v>9.9187546937939519E-2</c:v>
                </c:pt>
                <c:pt idx="7">
                  <c:v>8.6303260581474195E-2</c:v>
                </c:pt>
                <c:pt idx="8">
                  <c:v>6.7023557455421878E-2</c:v>
                </c:pt>
                <c:pt idx="9">
                  <c:v>1.8840873912050471E-2</c:v>
                </c:pt>
                <c:pt idx="10">
                  <c:v>1.412439906085794E-2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5A3-47EC-A976-89E5CF5CFA84}"/>
            </c:ext>
          </c:extLst>
        </c:ser>
        <c:ser>
          <c:idx val="3"/>
          <c:order val="3"/>
          <c:tx>
            <c:strRef>
              <c:f>Charts!$A$8</c:f>
              <c:strCache>
                <c:ptCount val="1"/>
                <c:pt idx="0">
                  <c:v>Channel Yr-Yr Growth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0770048972094257E-2"/>
                  <c:y val="1.22324159021406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5A3-47EC-A976-89E5CF5CFA84}"/>
                </c:ext>
              </c:extLst>
            </c:dLbl>
            <c:dLbl>
              <c:idx val="1"/>
              <c:layout>
                <c:manualLayout>
                  <c:x val="-4.2261690980979227E-17"/>
                  <c:y val="-1.52905198776758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82-470F-8826-CA52ADADE657}"/>
                </c:ext>
              </c:extLst>
            </c:dLbl>
            <c:dLbl>
              <c:idx val="2"/>
              <c:layout>
                <c:manualLayout>
                  <c:x val="1.346257404415675E-3"/>
                  <c:y val="-2.2479126525369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5A3-47EC-A976-89E5CF5CFA84}"/>
                </c:ext>
              </c:extLst>
            </c:dLbl>
            <c:dLbl>
              <c:idx val="3"/>
              <c:layout>
                <c:manualLayout>
                  <c:x val="-2.5578890683898809E-2"/>
                  <c:y val="-3.21130378933847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5A3-47EC-A976-89E5CF5CFA84}"/>
                </c:ext>
              </c:extLst>
            </c:dLbl>
            <c:dLbl>
              <c:idx val="4"/>
              <c:layout>
                <c:manualLayout>
                  <c:x val="-3.2310177705977432E-2"/>
                  <c:y val="-3.53243416827232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5A3-47EC-A976-89E5CF5CFA84}"/>
                </c:ext>
              </c:extLst>
            </c:dLbl>
            <c:dLbl>
              <c:idx val="5"/>
              <c:layout>
                <c:manualLayout>
                  <c:x val="-2.827140549273021E-2"/>
                  <c:y val="-2.89017341040462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5A3-47EC-A976-89E5CF5CFA84}"/>
                </c:ext>
              </c:extLst>
            </c:dLbl>
            <c:dLbl>
              <c:idx val="6"/>
              <c:layout>
                <c:manualLayout>
                  <c:x val="-2.4232633279483135E-2"/>
                  <c:y val="-3.53243416827232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5A3-47EC-A976-89E5CF5CFA84}"/>
                </c:ext>
              </c:extLst>
            </c:dLbl>
            <c:dLbl>
              <c:idx val="7"/>
              <c:layout>
                <c:manualLayout>
                  <c:x val="-2.0193861066235864E-2"/>
                  <c:y val="-4.1746949261400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5A3-47EC-A976-89E5CF5CFA84}"/>
                </c:ext>
              </c:extLst>
            </c:dLbl>
            <c:dLbl>
              <c:idx val="8"/>
              <c:layout>
                <c:manualLayout>
                  <c:x val="-5.3850296176628969E-3"/>
                  <c:y val="-2.2479126525369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5A3-47EC-A976-89E5CF5CFA84}"/>
                </c:ext>
              </c:extLst>
            </c:dLbl>
            <c:dLbl>
              <c:idx val="9"/>
              <c:layout>
                <c:manualLayout>
                  <c:x val="-5.3850296176629958E-3"/>
                  <c:y val="-2.89017341040462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A3-47EC-A976-89E5CF5CFA84}"/>
                </c:ext>
              </c:extLst>
            </c:dLbl>
            <c:dLbl>
              <c:idx val="10"/>
              <c:layout>
                <c:manualLayout>
                  <c:x val="-1.0770059235325893E-2"/>
                  <c:y val="-2.2479126525369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5A3-47EC-A976-89E5CF5CFA84}"/>
                </c:ext>
              </c:extLst>
            </c:dLbl>
            <c:dLbl>
              <c:idx val="11"/>
              <c:layout>
                <c:manualLayout>
                  <c:x val="8.0775444264943458E-3"/>
                  <c:y val="-2.24791265253692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5A3-47EC-A976-89E5CF5CFA84}"/>
                </c:ext>
              </c:extLst>
            </c:dLbl>
            <c:dLbl>
              <c:idx val="12"/>
              <c:layout>
                <c:manualLayout>
                  <c:x val="-3.9745627980922096E-3"/>
                  <c:y val="-2.89017341040462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05-48CA-8F8A-B998415AFB79}"/>
                </c:ext>
              </c:extLst>
            </c:dLbl>
            <c:dLbl>
              <c:idx val="13"/>
              <c:layout>
                <c:manualLayout>
                  <c:x val="3.4578146611341631E-3"/>
                  <c:y val="-2.75229357798165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82-470F-8826-CA52ADADE657}"/>
                </c:ext>
              </c:extLst>
            </c:dLbl>
            <c:dLbl>
              <c:idx val="14"/>
              <c:layout>
                <c:manualLayout>
                  <c:x val="0"/>
                  <c:y val="-9.17431192660550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82-470F-8826-CA52ADADE6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Charts!$F$3:$P$4</c:f>
              <c:strCache>
                <c:ptCount val="11"/>
                <c:pt idx="0">
                  <c:v>1Q-Mar 22A</c:v>
                </c:pt>
                <c:pt idx="1">
                  <c:v>2Q-Jun 22A</c:v>
                </c:pt>
                <c:pt idx="2">
                  <c:v>3Q-Sep 22A</c:v>
                </c:pt>
                <c:pt idx="3">
                  <c:v>4Q-Dec 22A</c:v>
                </c:pt>
                <c:pt idx="4">
                  <c:v>1Q-Mar 23A</c:v>
                </c:pt>
                <c:pt idx="5">
                  <c:v>2Q-Jun 23A</c:v>
                </c:pt>
                <c:pt idx="6">
                  <c:v>3Q-Sep 23A</c:v>
                </c:pt>
                <c:pt idx="7">
                  <c:v>4Q-Dec 23A</c:v>
                </c:pt>
                <c:pt idx="8">
                  <c:v>1Q-Mar 24A</c:v>
                </c:pt>
                <c:pt idx="9">
                  <c:v>2Q-Jun 24A</c:v>
                </c:pt>
                <c:pt idx="10">
                  <c:v>3Q-Sep 24A</c:v>
                </c:pt>
              </c:strCache>
            </c:strRef>
          </c:cat>
          <c:val>
            <c:numRef>
              <c:f>Charts!$F$8:$P$8</c:f>
              <c:numCache>
                <c:formatCode>0.0%</c:formatCode>
                <c:ptCount val="11"/>
                <c:pt idx="0">
                  <c:v>0.21039068137305428</c:v>
                </c:pt>
                <c:pt idx="1">
                  <c:v>0.21498044965786911</c:v>
                </c:pt>
                <c:pt idx="2">
                  <c:v>0.20622406639004143</c:v>
                </c:pt>
                <c:pt idx="3">
                  <c:v>0.19891389887878153</c:v>
                </c:pt>
                <c:pt idx="4">
                  <c:v>0.18357179356157394</c:v>
                </c:pt>
                <c:pt idx="5">
                  <c:v>0.17446748597059347</c:v>
                </c:pt>
                <c:pt idx="6">
                  <c:v>0.17526659786721699</c:v>
                </c:pt>
                <c:pt idx="7">
                  <c:v>0.12915116389454795</c:v>
                </c:pt>
                <c:pt idx="8">
                  <c:v>0.18148947652455472</c:v>
                </c:pt>
                <c:pt idx="9">
                  <c:v>0.17149903238512776</c:v>
                </c:pt>
                <c:pt idx="10">
                  <c:v>0.17454509976096388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5A3-47EC-A976-89E5CF5CFA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39393504"/>
        <c:axId val="1533713808"/>
      </c:lineChart>
      <c:catAx>
        <c:axId val="174679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837280"/>
        <c:crosses val="autoZero"/>
        <c:auto val="1"/>
        <c:lblAlgn val="ctr"/>
        <c:lblOffset val="100"/>
        <c:noMultiLvlLbl val="0"/>
      </c:catAx>
      <c:valAx>
        <c:axId val="19808372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Quarterly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Revenue (in $thous.)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792608"/>
        <c:crosses val="autoZero"/>
        <c:crossBetween val="between"/>
      </c:valAx>
      <c:valAx>
        <c:axId val="15337138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% Yr-Yr 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393504"/>
        <c:crosses val="max"/>
        <c:crossBetween val="between"/>
      </c:valAx>
      <c:catAx>
        <c:axId val="1539393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3713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15240</xdr:colOff>
      <xdr:row>72</xdr:row>
      <xdr:rowOff>15240</xdr:rowOff>
    </xdr:to>
    <xdr:pic>
      <xdr:nvPicPr>
        <xdr:cNvPr id="2" name="Picture 9" descr="CT?id=bwnews&amp;sty=20101021006769r1&amp;sid=cmtx2&amp;distro=nx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92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15240</xdr:colOff>
      <xdr:row>72</xdr:row>
      <xdr:rowOff>15240</xdr:rowOff>
    </xdr:to>
    <xdr:pic>
      <xdr:nvPicPr>
        <xdr:cNvPr id="3" name="Picture 10" descr="CT?id=bwnews&amp;sty=20101021006769r1&amp;sid=cmtx2&amp;distro=nx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92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1</xdr:col>
      <xdr:colOff>15240</xdr:colOff>
      <xdr:row>70</xdr:row>
      <xdr:rowOff>15240</xdr:rowOff>
    </xdr:to>
    <xdr:pic>
      <xdr:nvPicPr>
        <xdr:cNvPr id="2" name="Picture 9" descr="CT?id=bwnews&amp;sty=20101021006769r1&amp;sid=cmtx2&amp;distro=nx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06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15240</xdr:colOff>
      <xdr:row>70</xdr:row>
      <xdr:rowOff>15240</xdr:rowOff>
    </xdr:to>
    <xdr:pic>
      <xdr:nvPicPr>
        <xdr:cNvPr id="3" name="Picture 10" descr="CT?id=bwnews&amp;sty=20101021006769r1&amp;sid=cmtx2&amp;distro=nx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06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594360</xdr:colOff>
      <xdr:row>9</xdr:row>
      <xdr:rowOff>15240</xdr:rowOff>
    </xdr:from>
    <xdr:to>
      <xdr:col>16</xdr:col>
      <xdr:colOff>525780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29C9E6-27A1-437E-9C84-9091AF695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15240</xdr:colOff>
      <xdr:row>83</xdr:row>
      <xdr:rowOff>15240</xdr:rowOff>
    </xdr:to>
    <xdr:pic>
      <xdr:nvPicPr>
        <xdr:cNvPr id="2" name="Picture 9" descr="CT?id=bwnews&amp;sty=20101021006769r1&amp;sid=cmtx2&amp;distro=nx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06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15240</xdr:colOff>
      <xdr:row>83</xdr:row>
      <xdr:rowOff>15240</xdr:rowOff>
    </xdr:to>
    <xdr:pic>
      <xdr:nvPicPr>
        <xdr:cNvPr id="3" name="Picture 10" descr="CT?id=bwnews&amp;sty=20101021006769r1&amp;sid=cmtx2&amp;distro=nx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06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48871</xdr:colOff>
      <xdr:row>24</xdr:row>
      <xdr:rowOff>112458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25636" cy="4684458"/>
        </a:xfrm>
        <a:prstGeom prst="rect">
          <a:avLst/>
        </a:prstGeom>
      </xdr:spPr>
    </xdr:pic>
    <xdr:clientData/>
  </xdr:twoCellAnchor>
  <xdr:twoCellAnchor editAs="oneCell">
    <xdr:from>
      <xdr:col>0</xdr:col>
      <xdr:colOff>44822</xdr:colOff>
      <xdr:row>24</xdr:row>
      <xdr:rowOff>179294</xdr:rowOff>
    </xdr:from>
    <xdr:to>
      <xdr:col>15</xdr:col>
      <xdr:colOff>552678</xdr:colOff>
      <xdr:row>46</xdr:row>
      <xdr:rowOff>69435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22" y="4751294"/>
          <a:ext cx="9584621" cy="4081141"/>
        </a:xfrm>
        <a:prstGeom prst="rect">
          <a:avLst/>
        </a:prstGeom>
      </xdr:spPr>
    </xdr:pic>
    <xdr:clientData/>
  </xdr:twoCellAnchor>
  <xdr:twoCellAnchor editAs="oneCell">
    <xdr:from>
      <xdr:col>0</xdr:col>
      <xdr:colOff>257734</xdr:colOff>
      <xdr:row>45</xdr:row>
      <xdr:rowOff>156506</xdr:rowOff>
    </xdr:from>
    <xdr:to>
      <xdr:col>16</xdr:col>
      <xdr:colOff>74890</xdr:colOff>
      <xdr:row>61</xdr:row>
      <xdr:rowOff>112058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734" y="8729006"/>
          <a:ext cx="9499038" cy="30035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179294</xdr:rowOff>
    </xdr:from>
    <xdr:to>
      <xdr:col>16</xdr:col>
      <xdr:colOff>11556</xdr:colOff>
      <xdr:row>82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799794"/>
          <a:ext cx="9693438" cy="3821206"/>
        </a:xfrm>
        <a:prstGeom prst="rect">
          <a:avLst/>
        </a:prstGeom>
      </xdr:spPr>
    </xdr:pic>
    <xdr:clientData/>
  </xdr:twoCellAnchor>
  <xdr:twoCellAnchor editAs="oneCell">
    <xdr:from>
      <xdr:col>16</xdr:col>
      <xdr:colOff>7849</xdr:colOff>
      <xdr:row>61</xdr:row>
      <xdr:rowOff>56030</xdr:rowOff>
    </xdr:from>
    <xdr:to>
      <xdr:col>33</xdr:col>
      <xdr:colOff>58558</xdr:colOff>
      <xdr:row>82</xdr:row>
      <xdr:rowOff>37004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89731" y="11676530"/>
          <a:ext cx="10337709" cy="3981474"/>
        </a:xfrm>
        <a:prstGeom prst="rect">
          <a:avLst/>
        </a:prstGeom>
      </xdr:spPr>
    </xdr:pic>
    <xdr:clientData/>
  </xdr:twoCellAnchor>
  <xdr:twoCellAnchor editAs="oneCell">
    <xdr:from>
      <xdr:col>0</xdr:col>
      <xdr:colOff>67236</xdr:colOff>
      <xdr:row>83</xdr:row>
      <xdr:rowOff>0</xdr:rowOff>
    </xdr:from>
    <xdr:to>
      <xdr:col>15</xdr:col>
      <xdr:colOff>522508</xdr:colOff>
      <xdr:row>109</xdr:row>
      <xdr:rowOff>103480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236" y="15811500"/>
          <a:ext cx="9532037" cy="5056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14</xdr:col>
      <xdr:colOff>347401</xdr:colOff>
      <xdr:row>136</xdr:row>
      <xdr:rowOff>18476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1336000"/>
          <a:ext cx="8819048" cy="45904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ata_network/Optical/Excel/glw/OLD/Lissa/glwLissa.xls" TargetMode="External"/><Relationship Id="rId1" Type="http://schemas.openxmlformats.org/officeDocument/2006/relationships/externalLinkPath" Target="/data_network/Optical/Excel/glw/OLD/Lissa/glwLiss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tuff\standalon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My%20Documents/SAM.xls" TargetMode="External"/><Relationship Id="rId1" Type="http://schemas.openxmlformats.org/officeDocument/2006/relationships/externalLinkPath" Target="/My%20Documents/SAM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conndist/amp/AMP_IS.XLS" TargetMode="External"/><Relationship Id="rId1" Type="http://schemas.openxmlformats.org/officeDocument/2006/relationships/externalLinkPath" Target="/conndist/amp/AMP_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S"/>
      <sheetName val="CF"/>
      <sheetName val="Seg"/>
      <sheetName val="telecomm"/>
      <sheetName val="infodisplay"/>
      <sheetName val="AM"/>
      <sheetName val="IS"/>
      <sheetName val="New Template"/>
    </sheetNames>
    <sheetDataSet>
      <sheetData sheetId="0" refreshError="1">
        <row r="7">
          <cell r="BB7">
            <v>101.5</v>
          </cell>
        </row>
        <row r="12">
          <cell r="BB12">
            <v>1632</v>
          </cell>
        </row>
        <row r="16">
          <cell r="BB16">
            <v>2909.9</v>
          </cell>
        </row>
        <row r="21">
          <cell r="BB21">
            <v>5673.8</v>
          </cell>
        </row>
        <row r="29">
          <cell r="BB29">
            <v>1218.7</v>
          </cell>
        </row>
        <row r="31">
          <cell r="BB31">
            <v>1287.5999999999999</v>
          </cell>
        </row>
        <row r="37">
          <cell r="BB37">
            <v>2116</v>
          </cell>
        </row>
        <row r="39">
          <cell r="BB39">
            <v>5673.8</v>
          </cell>
        </row>
        <row r="42">
          <cell r="BB42">
            <v>9.0311566367904383</v>
          </cell>
        </row>
        <row r="43">
          <cell r="BB43">
            <v>0.43320529236022193</v>
          </cell>
        </row>
        <row r="44">
          <cell r="BB44">
            <v>1483.8999999999999</v>
          </cell>
        </row>
        <row r="46">
          <cell r="BB46">
            <v>0.41220589460818358</v>
          </cell>
        </row>
        <row r="50">
          <cell r="BB50">
            <v>61.964804693758602</v>
          </cell>
        </row>
        <row r="52">
          <cell r="BB52">
            <v>4.6739108421355198</v>
          </cell>
        </row>
        <row r="53">
          <cell r="BB53">
            <v>8.477754669784647E-2</v>
          </cell>
        </row>
        <row r="54">
          <cell r="BB54">
            <v>0.76203985010686115</v>
          </cell>
        </row>
        <row r="55">
          <cell r="BB55">
            <v>1.4814704402750087</v>
          </cell>
        </row>
        <row r="56">
          <cell r="BB56">
            <v>4.2624638147314249</v>
          </cell>
        </row>
        <row r="57">
          <cell r="BB57">
            <v>0.18057290061102449</v>
          </cell>
        </row>
      </sheetData>
      <sheetData sheetId="1" refreshError="1">
        <row r="16">
          <cell r="AO16">
            <v>849.69999999999993</v>
          </cell>
          <cell r="AT16">
            <v>979.89999999999986</v>
          </cell>
          <cell r="AY16">
            <v>846.50000000000045</v>
          </cell>
          <cell r="BD16">
            <v>1040.4312399999999</v>
          </cell>
          <cell r="BI16">
            <v>1234.6855966167495</v>
          </cell>
        </row>
        <row r="17">
          <cell r="AY17">
            <v>3.6868466898954724</v>
          </cell>
          <cell r="BD17">
            <v>4.4429646204761388</v>
          </cell>
          <cell r="BI17">
            <v>5.2500716343860931</v>
          </cell>
        </row>
        <row r="31">
          <cell r="AO31">
            <v>8.2342580361073614E-2</v>
          </cell>
          <cell r="AT31">
            <v>0.12992727405620727</v>
          </cell>
          <cell r="AY31">
            <v>-4.1464285714283435E-2</v>
          </cell>
          <cell r="BD31">
            <v>-0.17980128929490755</v>
          </cell>
          <cell r="BI31">
            <v>3.1898042734717555</v>
          </cell>
        </row>
        <row r="68">
          <cell r="BB68">
            <v>984.19999999999993</v>
          </cell>
        </row>
        <row r="69">
          <cell r="BB69">
            <v>0.14004401714351933</v>
          </cell>
        </row>
        <row r="70">
          <cell r="BB70">
            <v>4.2005975245411857</v>
          </cell>
        </row>
        <row r="72">
          <cell r="BC72">
            <v>1192.127614175</v>
          </cell>
        </row>
        <row r="73">
          <cell r="BC73">
            <v>5.0826161337667868</v>
          </cell>
        </row>
        <row r="74">
          <cell r="BC74">
            <v>0.21126561082605155</v>
          </cell>
        </row>
        <row r="76">
          <cell r="BB76">
            <v>0.17484153335345609</v>
          </cell>
        </row>
        <row r="77">
          <cell r="BB77">
            <v>1.1586840376479799</v>
          </cell>
        </row>
        <row r="78">
          <cell r="BB78">
            <v>1.9871355060034308</v>
          </cell>
        </row>
        <row r="79">
          <cell r="BB79">
            <v>1.3563645193738838</v>
          </cell>
        </row>
        <row r="80">
          <cell r="BB80">
            <v>-95.195300000000131</v>
          </cell>
        </row>
        <row r="81">
          <cell r="BB81">
            <v>-0.40629662825437529</v>
          </cell>
        </row>
        <row r="82">
          <cell r="BB82" t="str">
            <v>NM</v>
          </cell>
        </row>
        <row r="84">
          <cell r="AX84">
            <v>-95.195300000000131</v>
          </cell>
          <cell r="BC84">
            <v>161.37016958153967</v>
          </cell>
        </row>
        <row r="85">
          <cell r="BC85">
            <v>0.68799901761475024</v>
          </cell>
        </row>
        <row r="86">
          <cell r="BC86">
            <v>1.0617421165466007E-2</v>
          </cell>
        </row>
        <row r="87">
          <cell r="BC87">
            <v>4.3166725405007537E-2</v>
          </cell>
        </row>
        <row r="88">
          <cell r="BC88" t="str">
            <v>NM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© Salomon Smith Barney Inc. 1999.  All rights reserved.  Reproduction or quotation in whole or part without permission is forbidden.</v>
          </cell>
        </row>
        <row r="2">
          <cell r="A2" t="str">
            <v xml:space="preserve">Table 6A.  Corning Inc.— Restated Quarterly Income Statement  </v>
          </cell>
        </row>
        <row r="3">
          <cell r="A3" t="str">
            <v>(Millions Of Dollars, Except Per-Share Data; Restated for Spinoffs &amp; Accounting Calendar Change)</v>
          </cell>
          <cell r="AJ3" t="str">
            <v xml:space="preserve"> </v>
          </cell>
        </row>
        <row r="4">
          <cell r="P4" t="str">
            <v xml:space="preserve">   Year</v>
          </cell>
          <cell r="R4" t="str">
            <v>1992</v>
          </cell>
          <cell r="U4" t="str">
            <v xml:space="preserve">   Year</v>
          </cell>
          <cell r="W4" t="str">
            <v xml:space="preserve">1993 </v>
          </cell>
          <cell r="Z4" t="str">
            <v xml:space="preserve">   Year</v>
          </cell>
          <cell r="AB4" t="str">
            <v>1994</v>
          </cell>
          <cell r="AE4" t="str">
            <v xml:space="preserve">   Year</v>
          </cell>
          <cell r="AG4" t="str">
            <v xml:space="preserve"> 1995</v>
          </cell>
          <cell r="AJ4" t="str">
            <v xml:space="preserve">   Year</v>
          </cell>
          <cell r="AL4" t="str">
            <v xml:space="preserve"> 1996</v>
          </cell>
          <cell r="AO4" t="str">
            <v xml:space="preserve">   Year</v>
          </cell>
          <cell r="AQ4" t="str">
            <v>1997R</v>
          </cell>
          <cell r="AT4" t="str">
            <v xml:space="preserve">   Year</v>
          </cell>
          <cell r="AV4">
            <v>1998</v>
          </cell>
          <cell r="AY4" t="str">
            <v xml:space="preserve">   Year</v>
          </cell>
          <cell r="BA4" t="str">
            <v>Estimated 1999</v>
          </cell>
          <cell r="BD4" t="str">
            <v xml:space="preserve">   Year</v>
          </cell>
          <cell r="BF4" t="str">
            <v>Estimated 2000</v>
          </cell>
          <cell r="BI4" t="str">
            <v xml:space="preserve">   Year</v>
          </cell>
        </row>
        <row r="5">
          <cell r="P5" t="str">
            <v xml:space="preserve">   1991</v>
          </cell>
          <cell r="Q5" t="str">
            <v>1Q</v>
          </cell>
          <cell r="R5" t="str">
            <v>2Q</v>
          </cell>
          <cell r="S5" t="str">
            <v>3Q</v>
          </cell>
          <cell r="T5" t="str">
            <v>4Q</v>
          </cell>
          <cell r="U5" t="str">
            <v xml:space="preserve">   1992</v>
          </cell>
          <cell r="V5" t="str">
            <v>1Q</v>
          </cell>
          <cell r="W5" t="str">
            <v>2Q</v>
          </cell>
          <cell r="X5" t="str">
            <v>3Q</v>
          </cell>
          <cell r="Y5" t="str">
            <v>4Q</v>
          </cell>
          <cell r="Z5" t="str">
            <v xml:space="preserve">   1993</v>
          </cell>
          <cell r="AA5" t="str">
            <v>1Q</v>
          </cell>
          <cell r="AB5" t="str">
            <v>2Q</v>
          </cell>
          <cell r="AC5" t="str">
            <v>3Q</v>
          </cell>
          <cell r="AD5" t="str">
            <v>4Q</v>
          </cell>
          <cell r="AE5" t="str">
            <v xml:space="preserve">   1994</v>
          </cell>
          <cell r="AF5" t="str">
            <v>1Q</v>
          </cell>
          <cell r="AG5" t="str">
            <v>2Q</v>
          </cell>
          <cell r="AH5" t="str">
            <v>3Q</v>
          </cell>
          <cell r="AI5" t="str">
            <v>4Q</v>
          </cell>
          <cell r="AJ5" t="str">
            <v xml:space="preserve">   1995</v>
          </cell>
          <cell r="AK5" t="str">
            <v>1Q</v>
          </cell>
          <cell r="AL5" t="str">
            <v>2Q</v>
          </cell>
          <cell r="AM5" t="str">
            <v>3Q</v>
          </cell>
          <cell r="AN5" t="str">
            <v>4Q</v>
          </cell>
          <cell r="AO5" t="str">
            <v xml:space="preserve">   1996</v>
          </cell>
          <cell r="AP5" t="str">
            <v>1QR</v>
          </cell>
          <cell r="AQ5" t="str">
            <v>2QR</v>
          </cell>
          <cell r="AR5" t="str">
            <v>3QR</v>
          </cell>
          <cell r="AS5" t="str">
            <v>4QR</v>
          </cell>
          <cell r="AT5" t="str">
            <v xml:space="preserve">   1997R</v>
          </cell>
          <cell r="AU5" t="str">
            <v>1Q</v>
          </cell>
          <cell r="AV5" t="str">
            <v>2Q</v>
          </cell>
          <cell r="AW5" t="str">
            <v>3Q</v>
          </cell>
          <cell r="AX5" t="str">
            <v>4Q</v>
          </cell>
          <cell r="AY5">
            <v>1998</v>
          </cell>
          <cell r="AZ5" t="str">
            <v>1QA</v>
          </cell>
          <cell r="BA5" t="str">
            <v>2QA</v>
          </cell>
          <cell r="BB5" t="str">
            <v>3QA</v>
          </cell>
          <cell r="BC5" t="str">
            <v>4Q</v>
          </cell>
          <cell r="BD5" t="str">
            <v xml:space="preserve">   1999E</v>
          </cell>
          <cell r="BE5" t="str">
            <v>1Q</v>
          </cell>
          <cell r="BF5" t="str">
            <v>2Q</v>
          </cell>
          <cell r="BG5" t="str">
            <v>3Q</v>
          </cell>
          <cell r="BH5" t="str">
            <v>4Q</v>
          </cell>
          <cell r="BI5">
            <v>2000</v>
          </cell>
        </row>
        <row r="6">
          <cell r="P6" t="str">
            <v xml:space="preserve"> </v>
          </cell>
          <cell r="U6" t="str">
            <v>`</v>
          </cell>
          <cell r="Y6" t="str">
            <v>`</v>
          </cell>
        </row>
        <row r="7">
          <cell r="A7" t="str">
            <v>Net Sales</v>
          </cell>
          <cell r="P7">
            <v>3259.2</v>
          </cell>
          <cell r="Q7">
            <v>741.8</v>
          </cell>
          <cell r="R7">
            <v>871.5</v>
          </cell>
          <cell r="S7">
            <v>1099.2</v>
          </cell>
          <cell r="T7">
            <v>996.2</v>
          </cell>
          <cell r="U7">
            <v>3708.7</v>
          </cell>
          <cell r="V7">
            <v>817</v>
          </cell>
          <cell r="W7">
            <v>906.8</v>
          </cell>
          <cell r="X7">
            <v>1198</v>
          </cell>
          <cell r="Y7">
            <v>1083</v>
          </cell>
          <cell r="Z7">
            <v>4004.8</v>
          </cell>
          <cell r="AA7">
            <v>948.9</v>
          </cell>
          <cell r="AB7">
            <v>1105.7</v>
          </cell>
          <cell r="AC7">
            <v>1442.4</v>
          </cell>
          <cell r="AD7">
            <v>1273.5</v>
          </cell>
          <cell r="AE7">
            <v>4770.5</v>
          </cell>
          <cell r="AF7">
            <v>767.5</v>
          </cell>
          <cell r="AG7">
            <v>801.3</v>
          </cell>
          <cell r="AH7">
            <v>834.5</v>
          </cell>
          <cell r="AI7">
            <v>853.8</v>
          </cell>
          <cell r="AJ7">
            <v>3257.1000000000004</v>
          </cell>
          <cell r="AK7">
            <v>837.6</v>
          </cell>
          <cell r="AL7">
            <v>913.7</v>
          </cell>
          <cell r="AM7">
            <v>910.2</v>
          </cell>
          <cell r="AN7">
            <v>990.1</v>
          </cell>
          <cell r="AO7">
            <v>3651.6</v>
          </cell>
          <cell r="AP7">
            <v>817.1</v>
          </cell>
          <cell r="AQ7">
            <v>905.5</v>
          </cell>
          <cell r="AR7">
            <v>891.9</v>
          </cell>
          <cell r="AS7">
            <v>902.3</v>
          </cell>
          <cell r="AT7">
            <v>3516.8</v>
          </cell>
          <cell r="AU7">
            <v>794.8</v>
          </cell>
          <cell r="AV7">
            <v>855.9</v>
          </cell>
          <cell r="AW7">
            <v>906.5</v>
          </cell>
          <cell r="AX7">
            <v>926.8</v>
          </cell>
          <cell r="AY7">
            <v>3484</v>
          </cell>
          <cell r="AZ7">
            <v>892.2</v>
          </cell>
          <cell r="BA7">
            <v>1020</v>
          </cell>
          <cell r="BB7">
            <v>1136.5999999999999</v>
          </cell>
          <cell r="BC7">
            <v>1151.82</v>
          </cell>
          <cell r="BD7">
            <v>4200.62</v>
          </cell>
          <cell r="BE7">
            <v>1121.124</v>
          </cell>
          <cell r="BF7">
            <v>1260.4499999999998</v>
          </cell>
          <cell r="BG7">
            <v>1261.626</v>
          </cell>
          <cell r="BH7">
            <v>1267.002</v>
          </cell>
          <cell r="BI7">
            <v>4910.2019999999993</v>
          </cell>
        </row>
        <row r="9">
          <cell r="A9" t="str">
            <v>Cost Of Goods Sold</v>
          </cell>
          <cell r="P9">
            <v>2121.5</v>
          </cell>
          <cell r="Q9">
            <v>488.4</v>
          </cell>
          <cell r="R9">
            <v>575.6</v>
          </cell>
          <cell r="S9">
            <v>709.2</v>
          </cell>
          <cell r="T9">
            <v>638.1</v>
          </cell>
          <cell r="U9">
            <v>2411.3000000000002</v>
          </cell>
          <cell r="V9">
            <v>532.1</v>
          </cell>
          <cell r="W9">
            <v>568.4</v>
          </cell>
          <cell r="X9">
            <v>789</v>
          </cell>
          <cell r="Y9">
            <v>707.5</v>
          </cell>
          <cell r="Z9">
            <v>2597</v>
          </cell>
          <cell r="AA9">
            <v>622.1</v>
          </cell>
          <cell r="AB9">
            <v>696.1</v>
          </cell>
          <cell r="AC9">
            <v>917.9</v>
          </cell>
          <cell r="AD9">
            <v>824.8</v>
          </cell>
          <cell r="AE9">
            <v>3060.8999999999996</v>
          </cell>
          <cell r="AF9">
            <v>485.8</v>
          </cell>
          <cell r="AG9">
            <v>498.3</v>
          </cell>
          <cell r="AH9">
            <v>509.6</v>
          </cell>
          <cell r="AI9">
            <v>538.9</v>
          </cell>
          <cell r="AJ9">
            <v>2032.6</v>
          </cell>
          <cell r="AK9">
            <v>517</v>
          </cell>
          <cell r="AL9">
            <v>568.70000000000005</v>
          </cell>
          <cell r="AM9">
            <v>551.20000000000005</v>
          </cell>
          <cell r="AN9">
            <v>622</v>
          </cell>
          <cell r="AO9">
            <v>2258.9</v>
          </cell>
          <cell r="AP9">
            <v>475.7</v>
          </cell>
          <cell r="AQ9">
            <v>515.29999999999995</v>
          </cell>
          <cell r="AR9">
            <v>524.9</v>
          </cell>
          <cell r="AS9">
            <v>526.4</v>
          </cell>
          <cell r="AT9">
            <v>2042.3000000000002</v>
          </cell>
          <cell r="AU9">
            <v>514.70000000000005</v>
          </cell>
          <cell r="AV9">
            <v>530.4</v>
          </cell>
          <cell r="AW9">
            <v>550.1</v>
          </cell>
          <cell r="AX9">
            <v>558.70000000000005</v>
          </cell>
          <cell r="AY9">
            <v>2153.8999999999996</v>
          </cell>
          <cell r="AZ9">
            <v>548.29999999999995</v>
          </cell>
          <cell r="BA9">
            <v>621.70000000000005</v>
          </cell>
          <cell r="BB9">
            <v>696.7</v>
          </cell>
          <cell r="BC9">
            <v>711.82475999999997</v>
          </cell>
          <cell r="BD9">
            <v>2578.5247600000002</v>
          </cell>
          <cell r="BE9">
            <v>689.49126000000001</v>
          </cell>
          <cell r="BF9">
            <v>768.8744999999999</v>
          </cell>
          <cell r="BG9">
            <v>769.59186</v>
          </cell>
          <cell r="BH9">
            <v>779.20623000000001</v>
          </cell>
          <cell r="BI9">
            <v>3007.1638499999999</v>
          </cell>
        </row>
        <row r="10">
          <cell r="P10" t="str">
            <v>_______</v>
          </cell>
          <cell r="Q10" t="str">
            <v>_______</v>
          </cell>
          <cell r="R10" t="str">
            <v>_______</v>
          </cell>
          <cell r="S10" t="str">
            <v>_______</v>
          </cell>
          <cell r="T10" t="str">
            <v>_______</v>
          </cell>
          <cell r="U10" t="str">
            <v xml:space="preserve">              </v>
          </cell>
          <cell r="V10" t="str">
            <v xml:space="preserve">              </v>
          </cell>
          <cell r="W10" t="str">
            <v xml:space="preserve">              </v>
          </cell>
          <cell r="X10" t="str">
            <v xml:space="preserve">              </v>
          </cell>
          <cell r="Y10" t="str">
            <v xml:space="preserve">              </v>
          </cell>
          <cell r="Z10" t="str">
            <v xml:space="preserve">              </v>
          </cell>
          <cell r="AA10" t="str">
            <v xml:space="preserve">              </v>
          </cell>
          <cell r="AB10" t="str">
            <v xml:space="preserve">              </v>
          </cell>
          <cell r="AC10" t="str">
            <v xml:space="preserve">              </v>
          </cell>
          <cell r="AD10" t="str">
            <v xml:space="preserve">              </v>
          </cell>
          <cell r="AE10" t="str">
            <v xml:space="preserve">              </v>
          </cell>
          <cell r="AF10" t="str">
            <v xml:space="preserve">              </v>
          </cell>
          <cell r="AG10" t="str">
            <v xml:space="preserve">              </v>
          </cell>
          <cell r="AH10" t="str">
            <v xml:space="preserve">              </v>
          </cell>
          <cell r="AI10" t="str">
            <v xml:space="preserve">              </v>
          </cell>
          <cell r="AJ10" t="str">
            <v xml:space="preserve">              </v>
          </cell>
          <cell r="AK10" t="str">
            <v xml:space="preserve">              </v>
          </cell>
          <cell r="AL10" t="str">
            <v xml:space="preserve">              </v>
          </cell>
          <cell r="AM10" t="str">
            <v xml:space="preserve">              </v>
          </cell>
          <cell r="AN10" t="str">
            <v xml:space="preserve">              </v>
          </cell>
        </row>
        <row r="11">
          <cell r="A11" t="str">
            <v>Gross Income</v>
          </cell>
          <cell r="P11">
            <v>1137.7</v>
          </cell>
          <cell r="Q11">
            <v>253.39999999999998</v>
          </cell>
          <cell r="R11">
            <v>295.89999999999998</v>
          </cell>
          <cell r="S11">
            <v>390</v>
          </cell>
          <cell r="T11">
            <v>358.1</v>
          </cell>
          <cell r="U11">
            <v>1297.3999999999996</v>
          </cell>
          <cell r="V11">
            <v>284.89999999999998</v>
          </cell>
          <cell r="W11">
            <v>338.4</v>
          </cell>
          <cell r="X11">
            <v>409</v>
          </cell>
          <cell r="Y11">
            <v>375.5</v>
          </cell>
          <cell r="Z11">
            <v>1407.8000000000002</v>
          </cell>
          <cell r="AA11">
            <v>326.79999999999995</v>
          </cell>
          <cell r="AB11">
            <v>409.6</v>
          </cell>
          <cell r="AC11">
            <v>524.50000000000011</v>
          </cell>
          <cell r="AD11">
            <v>448.70000000000005</v>
          </cell>
          <cell r="AE11">
            <v>1709.6000000000004</v>
          </cell>
          <cell r="AF11">
            <v>281.7</v>
          </cell>
          <cell r="AG11">
            <v>302.99999999999994</v>
          </cell>
          <cell r="AH11">
            <v>324.89999999999998</v>
          </cell>
          <cell r="AI11">
            <v>314.89999999999998</v>
          </cell>
          <cell r="AJ11">
            <v>1224.5000000000005</v>
          </cell>
          <cell r="AK11">
            <v>320.60000000000002</v>
          </cell>
          <cell r="AL11">
            <v>345</v>
          </cell>
          <cell r="AM11">
            <v>359</v>
          </cell>
          <cell r="AN11">
            <v>368.1</v>
          </cell>
          <cell r="AO11">
            <v>1392.6999999999998</v>
          </cell>
          <cell r="AP11">
            <v>341.40000000000003</v>
          </cell>
          <cell r="AQ11">
            <v>390.20000000000005</v>
          </cell>
          <cell r="AR11">
            <v>367</v>
          </cell>
          <cell r="AS11">
            <v>375.9</v>
          </cell>
          <cell r="AT11">
            <v>1474.5</v>
          </cell>
          <cell r="AU11">
            <v>280.09999999999991</v>
          </cell>
          <cell r="AV11">
            <v>325.5</v>
          </cell>
          <cell r="AW11">
            <v>356.4</v>
          </cell>
          <cell r="AX11">
            <v>368.09999999999991</v>
          </cell>
          <cell r="AY11">
            <v>1330.1000000000004</v>
          </cell>
          <cell r="AZ11">
            <v>343.90000000000009</v>
          </cell>
          <cell r="BA11">
            <v>398.29999999999995</v>
          </cell>
          <cell r="BB11">
            <v>439.89999999999986</v>
          </cell>
          <cell r="BC11">
            <v>439.99523999999997</v>
          </cell>
          <cell r="BD11">
            <v>1622.0952399999996</v>
          </cell>
          <cell r="BE11">
            <v>431.63274000000001</v>
          </cell>
          <cell r="BF11">
            <v>491.57549999999992</v>
          </cell>
          <cell r="BG11">
            <v>492.03413999999998</v>
          </cell>
          <cell r="BH11">
            <v>487.79576999999995</v>
          </cell>
          <cell r="BI11">
            <v>1903.0381499999994</v>
          </cell>
        </row>
        <row r="12">
          <cell r="A12" t="str">
            <v>Gross Margin</v>
          </cell>
          <cell r="P12">
            <v>0.34907339224349532</v>
          </cell>
          <cell r="Q12">
            <v>0.34160150984092741</v>
          </cell>
          <cell r="R12">
            <v>0.33952954675846236</v>
          </cell>
          <cell r="S12">
            <v>0.35480349344978168</v>
          </cell>
          <cell r="T12">
            <v>0.35946597068861674</v>
          </cell>
          <cell r="U12">
            <v>0.34982608461185849</v>
          </cell>
          <cell r="V12">
            <v>0.34871481028151774</v>
          </cell>
          <cell r="W12">
            <v>0.37318041464490515</v>
          </cell>
          <cell r="X12">
            <v>0.34140233722871449</v>
          </cell>
          <cell r="Y12">
            <v>0.34672206832871655</v>
          </cell>
          <cell r="Z12">
            <v>0.35152816620055938</v>
          </cell>
          <cell r="AA12">
            <v>0.34439877753187897</v>
          </cell>
          <cell r="AB12">
            <v>0.3704440625847879</v>
          </cell>
          <cell r="AC12">
            <v>0.36363006100942874</v>
          </cell>
          <cell r="AD12">
            <v>0.35233608166470365</v>
          </cell>
          <cell r="AE12">
            <v>0.35836914369562944</v>
          </cell>
          <cell r="AF12">
            <v>0.36703583061889244</v>
          </cell>
          <cell r="AG12">
            <v>0.37813552976413323</v>
          </cell>
          <cell r="AH12">
            <v>0.38933493109646489</v>
          </cell>
          <cell r="AI12">
            <v>0.36882173811197005</v>
          </cell>
          <cell r="AJ12">
            <v>0.37594792913941855</v>
          </cell>
          <cell r="AK12">
            <v>0.38276026743075453</v>
          </cell>
          <cell r="AL12">
            <v>0.37758564080113821</v>
          </cell>
          <cell r="AM12">
            <v>0.39441880905295534</v>
          </cell>
          <cell r="AN12">
            <v>0.37178062821937174</v>
          </cell>
          <cell r="AO12">
            <v>0.38139445722423049</v>
          </cell>
          <cell r="AP12">
            <v>0.41781911638722313</v>
          </cell>
          <cell r="AQ12">
            <v>0.43092214246272786</v>
          </cell>
          <cell r="AR12">
            <v>0.41148110774750535</v>
          </cell>
          <cell r="AS12">
            <v>0.41660201706749422</v>
          </cell>
          <cell r="AT12">
            <v>0.41927320291173797</v>
          </cell>
          <cell r="AU12">
            <v>0.35241570206341211</v>
          </cell>
          <cell r="AV12">
            <v>0.38030143708377151</v>
          </cell>
          <cell r="AW12">
            <v>0.39316050744622166</v>
          </cell>
          <cell r="AX12">
            <v>0.39717306862321955</v>
          </cell>
          <cell r="AY12">
            <v>0.3817738231917337</v>
          </cell>
          <cell r="AZ12">
            <v>0.38545169244564004</v>
          </cell>
          <cell r="BA12">
            <v>0.39049019607843127</v>
          </cell>
          <cell r="BB12">
            <v>0.3870314974485306</v>
          </cell>
          <cell r="BC12">
            <v>0.38200000000000001</v>
          </cell>
          <cell r="BD12">
            <v>0.38615614837809653</v>
          </cell>
          <cell r="BE12">
            <v>0.38500000000000001</v>
          </cell>
          <cell r="BF12">
            <v>0.39</v>
          </cell>
          <cell r="BG12">
            <v>0.39</v>
          </cell>
          <cell r="BH12">
            <v>0.38500000000000001</v>
          </cell>
          <cell r="BI12">
            <v>0.38756819984188018</v>
          </cell>
        </row>
        <row r="14">
          <cell r="A14" t="str">
            <v>SG&amp;A</v>
          </cell>
          <cell r="P14">
            <v>622.5</v>
          </cell>
          <cell r="Q14">
            <v>149.9</v>
          </cell>
          <cell r="R14">
            <v>162.5</v>
          </cell>
          <cell r="S14">
            <v>194.6</v>
          </cell>
          <cell r="T14">
            <v>185.2</v>
          </cell>
          <cell r="U14">
            <v>692.19999999999993</v>
          </cell>
          <cell r="V14">
            <v>168.6</v>
          </cell>
          <cell r="W14">
            <v>176.7</v>
          </cell>
          <cell r="X14">
            <v>219.5</v>
          </cell>
          <cell r="Y14">
            <v>209.2</v>
          </cell>
          <cell r="Z14">
            <v>774</v>
          </cell>
          <cell r="AA14">
            <v>185.7</v>
          </cell>
          <cell r="AB14">
            <v>202.3</v>
          </cell>
          <cell r="AC14">
            <v>245.2</v>
          </cell>
          <cell r="AD14">
            <v>238.5</v>
          </cell>
          <cell r="AE14">
            <v>871.7</v>
          </cell>
          <cell r="AF14">
            <v>131.1</v>
          </cell>
          <cell r="AG14">
            <v>131.9</v>
          </cell>
          <cell r="AH14">
            <v>142.5</v>
          </cell>
          <cell r="AI14">
            <v>150.69999999999999</v>
          </cell>
          <cell r="AJ14">
            <v>556.20000000000005</v>
          </cell>
          <cell r="AK14">
            <v>158.4</v>
          </cell>
          <cell r="AL14">
            <v>148.4</v>
          </cell>
          <cell r="AM14">
            <v>163.30000000000001</v>
          </cell>
          <cell r="AN14">
            <v>169.7</v>
          </cell>
          <cell r="AO14">
            <v>639.79999999999995</v>
          </cell>
          <cell r="AP14">
            <v>128.80000000000001</v>
          </cell>
          <cell r="AQ14">
            <v>138.9</v>
          </cell>
          <cell r="AR14">
            <v>134</v>
          </cell>
          <cell r="AS14">
            <v>139.9</v>
          </cell>
          <cell r="AT14">
            <v>541.6</v>
          </cell>
          <cell r="AU14">
            <v>112.9</v>
          </cell>
          <cell r="AV14">
            <v>126.6</v>
          </cell>
          <cell r="AW14">
            <v>112.6</v>
          </cell>
          <cell r="AX14">
            <v>135.6</v>
          </cell>
          <cell r="AY14">
            <v>487.70000000000005</v>
          </cell>
          <cell r="AZ14">
            <v>136.80000000000001</v>
          </cell>
          <cell r="BA14">
            <v>141.29999999999998</v>
          </cell>
          <cell r="BB14">
            <v>161.1</v>
          </cell>
          <cell r="BC14">
            <v>163.51649999999998</v>
          </cell>
          <cell r="BD14">
            <v>602.7165</v>
          </cell>
          <cell r="BE14">
            <v>163.51649999999998</v>
          </cell>
          <cell r="BF14">
            <v>164.33408249999997</v>
          </cell>
          <cell r="BG14">
            <v>165.97742332499996</v>
          </cell>
          <cell r="BH14">
            <v>167.63719755824997</v>
          </cell>
          <cell r="BI14">
            <v>661.4652033832499</v>
          </cell>
        </row>
        <row r="15">
          <cell r="A15" t="str">
            <v>Research &amp; Development</v>
          </cell>
          <cell r="P15">
            <v>130.69999999999999</v>
          </cell>
          <cell r="Q15">
            <v>31.2</v>
          </cell>
          <cell r="R15">
            <v>33.299999999999997</v>
          </cell>
          <cell r="S15">
            <v>44.4</v>
          </cell>
          <cell r="T15">
            <v>42.2</v>
          </cell>
          <cell r="U15">
            <v>151.1</v>
          </cell>
          <cell r="V15">
            <v>37.700000000000003</v>
          </cell>
          <cell r="W15">
            <v>39.799999999999997</v>
          </cell>
          <cell r="X15">
            <v>51.4</v>
          </cell>
          <cell r="Y15">
            <v>44.2</v>
          </cell>
          <cell r="Z15">
            <v>173.09999999999997</v>
          </cell>
          <cell r="AA15">
            <v>38.200000000000003</v>
          </cell>
          <cell r="AB15">
            <v>41.1</v>
          </cell>
          <cell r="AC15">
            <v>53.5</v>
          </cell>
          <cell r="AD15">
            <v>44.1</v>
          </cell>
          <cell r="AE15">
            <v>176.89999999999998</v>
          </cell>
          <cell r="AF15">
            <v>43.9</v>
          </cell>
          <cell r="AG15">
            <v>43.2</v>
          </cell>
          <cell r="AH15">
            <v>42.3</v>
          </cell>
          <cell r="AI15">
            <v>46.3</v>
          </cell>
          <cell r="AJ15">
            <v>175.70000000000002</v>
          </cell>
          <cell r="AK15">
            <v>45.3</v>
          </cell>
          <cell r="AL15">
            <v>44.9</v>
          </cell>
          <cell r="AM15">
            <v>47.3</v>
          </cell>
          <cell r="AN15">
            <v>53.8</v>
          </cell>
          <cell r="AO15">
            <v>191.3</v>
          </cell>
          <cell r="AP15">
            <v>51</v>
          </cell>
          <cell r="AQ15">
            <v>53.4</v>
          </cell>
          <cell r="AR15">
            <v>70.7</v>
          </cell>
          <cell r="AS15">
            <v>75.2</v>
          </cell>
          <cell r="AT15">
            <v>250.3</v>
          </cell>
          <cell r="AU15">
            <v>67.099999999999994</v>
          </cell>
          <cell r="AV15">
            <v>75.099999999999994</v>
          </cell>
          <cell r="AW15">
            <v>71.599999999999994</v>
          </cell>
          <cell r="AX15">
            <v>80.099999999999994</v>
          </cell>
          <cell r="AY15">
            <v>293.89999999999998</v>
          </cell>
          <cell r="AZ15">
            <v>79.599999999999994</v>
          </cell>
          <cell r="BA15">
            <v>84.8</v>
          </cell>
          <cell r="BB15">
            <v>96.5</v>
          </cell>
          <cell r="BC15">
            <v>97.947499999999991</v>
          </cell>
          <cell r="BD15">
            <v>358.84749999999997</v>
          </cell>
          <cell r="BE15">
            <v>97.907999999999987</v>
          </cell>
          <cell r="BF15">
            <v>101.75999999999999</v>
          </cell>
          <cell r="BG15">
            <v>102.29</v>
          </cell>
          <cell r="BH15">
            <v>103.82435</v>
          </cell>
          <cell r="BI15">
            <v>405.78234999999995</v>
          </cell>
        </row>
        <row r="16">
          <cell r="A16" t="str">
            <v>SG&amp;A And R&amp;D As % Of Sales</v>
          </cell>
          <cell r="P16">
            <v>0.23109965635738836</v>
          </cell>
          <cell r="Q16">
            <v>0.24413588568347264</v>
          </cell>
          <cell r="R16">
            <v>0.22467010900745843</v>
          </cell>
          <cell r="S16">
            <v>0.21743085880640464</v>
          </cell>
          <cell r="T16">
            <v>0.22826741618148963</v>
          </cell>
          <cell r="U16">
            <v>0.22738425863510126</v>
          </cell>
          <cell r="V16">
            <v>0.25250917992656058</v>
          </cell>
          <cell r="W16">
            <v>0.23875165416850463</v>
          </cell>
          <cell r="X16">
            <v>0.22612687813021701</v>
          </cell>
          <cell r="Y16">
            <v>0.23397968605724836</v>
          </cell>
          <cell r="Z16">
            <v>0.23649121054734315</v>
          </cell>
          <cell r="AA16">
            <v>0.23595742438613129</v>
          </cell>
          <cell r="AB16">
            <v>0.22013204304965181</v>
          </cell>
          <cell r="AC16">
            <v>0.20708541320022184</v>
          </cell>
          <cell r="AD16">
            <v>0.22190812720848058</v>
          </cell>
          <cell r="AE16">
            <v>0.21980924431401319</v>
          </cell>
          <cell r="AF16">
            <v>0.2280130293159609</v>
          </cell>
          <cell r="AG16">
            <v>0.21851990515412459</v>
          </cell>
          <cell r="AH16">
            <v>0.22144997004194131</v>
          </cell>
          <cell r="AI16">
            <v>0.23073319278519561</v>
          </cell>
          <cell r="AJ16">
            <v>0.22470909704952258</v>
          </cell>
          <cell r="AK16">
            <v>0.24319484240687678</v>
          </cell>
          <cell r="AL16">
            <v>0.21155740396191311</v>
          </cell>
          <cell r="AM16">
            <v>0.23137771918259725</v>
          </cell>
          <cell r="AN16">
            <v>0.22573477426522573</v>
          </cell>
          <cell r="AO16">
            <v>0.22759886077335961</v>
          </cell>
          <cell r="AP16">
            <v>0.220046505935626</v>
          </cell>
          <cell r="AQ16">
            <v>0.21236885698509111</v>
          </cell>
          <cell r="AR16">
            <v>0.22951003475725978</v>
          </cell>
          <cell r="AS16">
            <v>0.23839077912002662</v>
          </cell>
          <cell r="AT16">
            <v>0.22517629663330302</v>
          </cell>
          <cell r="AU16">
            <v>0.22647206844489182</v>
          </cell>
          <cell r="AV16">
            <v>0.23565837130505898</v>
          </cell>
          <cell r="AW16">
            <v>0.20319911748483177</v>
          </cell>
          <cell r="AX16">
            <v>0.2327362969356927</v>
          </cell>
          <cell r="AY16">
            <v>0.22433983926521239</v>
          </cell>
          <cell r="AZ16">
            <v>0.24254651423447657</v>
          </cell>
          <cell r="BA16">
            <v>0.22166666666666662</v>
          </cell>
          <cell r="BB16">
            <v>0.22664085870139014</v>
          </cell>
          <cell r="BC16">
            <v>0.22700074664444092</v>
          </cell>
          <cell r="BD16">
            <v>0.22891001804495525</v>
          </cell>
          <cell r="BE16">
            <v>0.23318071863594034</v>
          </cell>
          <cell r="BF16">
            <v>0.21111038319647746</v>
          </cell>
          <cell r="BG16">
            <v>0.21263625141285927</v>
          </cell>
          <cell r="BH16">
            <v>0.21425502687308304</v>
          </cell>
          <cell r="BI16">
            <v>0.21735308514461318</v>
          </cell>
        </row>
        <row r="17">
          <cell r="P17" t="str">
            <v>_______</v>
          </cell>
          <cell r="Q17" t="str">
            <v>_______</v>
          </cell>
          <cell r="R17" t="str">
            <v>_______</v>
          </cell>
          <cell r="S17" t="str">
            <v>_______</v>
          </cell>
          <cell r="T17" t="str">
            <v>_______</v>
          </cell>
          <cell r="U17" t="str">
            <v xml:space="preserve">              </v>
          </cell>
          <cell r="V17" t="str">
            <v xml:space="preserve">              </v>
          </cell>
          <cell r="W17" t="str">
            <v xml:space="preserve">              </v>
          </cell>
          <cell r="X17" t="str">
            <v xml:space="preserve">              </v>
          </cell>
          <cell r="Y17" t="str">
            <v xml:space="preserve">              </v>
          </cell>
          <cell r="Z17" t="str">
            <v xml:space="preserve">              </v>
          </cell>
          <cell r="AA17" t="str">
            <v xml:space="preserve">              </v>
          </cell>
          <cell r="AB17" t="str">
            <v xml:space="preserve">              </v>
          </cell>
          <cell r="AC17" t="str">
            <v xml:space="preserve">              </v>
          </cell>
          <cell r="AD17" t="str">
            <v xml:space="preserve">              </v>
          </cell>
          <cell r="AE17" t="str">
            <v xml:space="preserve">              </v>
          </cell>
          <cell r="AF17" t="str">
            <v xml:space="preserve">              </v>
          </cell>
          <cell r="AG17" t="str">
            <v xml:space="preserve">              </v>
          </cell>
          <cell r="AH17" t="str">
            <v xml:space="preserve">              </v>
          </cell>
          <cell r="AI17" t="str">
            <v xml:space="preserve">              </v>
          </cell>
          <cell r="AJ17" t="str">
            <v xml:space="preserve">              </v>
          </cell>
          <cell r="AK17" t="str">
            <v xml:space="preserve">              </v>
          </cell>
          <cell r="AL17" t="str">
            <v xml:space="preserve">              </v>
          </cell>
          <cell r="AM17" t="str">
            <v xml:space="preserve">              </v>
          </cell>
          <cell r="AN17" t="str">
            <v xml:space="preserve">              </v>
          </cell>
        </row>
        <row r="18">
          <cell r="A18" t="str">
            <v>Total Operating Costs</v>
          </cell>
          <cell r="P18">
            <v>2874.7</v>
          </cell>
          <cell r="Q18">
            <v>669.5</v>
          </cell>
          <cell r="R18">
            <v>771.4</v>
          </cell>
          <cell r="S18">
            <v>948.2</v>
          </cell>
          <cell r="T18">
            <v>865.5</v>
          </cell>
          <cell r="U18">
            <v>3254.6</v>
          </cell>
          <cell r="V18">
            <v>738.40000000000009</v>
          </cell>
          <cell r="W18">
            <v>784.89999999999986</v>
          </cell>
          <cell r="X18">
            <v>1059.9000000000001</v>
          </cell>
          <cell r="Y18">
            <v>960.90000000000009</v>
          </cell>
          <cell r="Z18">
            <v>3544.1</v>
          </cell>
          <cell r="AA18">
            <v>846</v>
          </cell>
          <cell r="AB18">
            <v>939.50000000000011</v>
          </cell>
          <cell r="AC18">
            <v>1216.5999999999999</v>
          </cell>
          <cell r="AD18">
            <v>1107.3999999999999</v>
          </cell>
          <cell r="AE18">
            <v>4109.4999999999991</v>
          </cell>
          <cell r="AF18">
            <v>660.8</v>
          </cell>
          <cell r="AG18">
            <v>673.40000000000009</v>
          </cell>
          <cell r="AH18">
            <v>694.4</v>
          </cell>
          <cell r="AI18">
            <v>735.89999999999986</v>
          </cell>
          <cell r="AJ18">
            <v>2764.5</v>
          </cell>
          <cell r="AK18">
            <v>720.69999999999993</v>
          </cell>
          <cell r="AL18">
            <v>762</v>
          </cell>
          <cell r="AM18">
            <v>761.8</v>
          </cell>
          <cell r="AN18">
            <v>845.5</v>
          </cell>
          <cell r="AO18">
            <v>3090</v>
          </cell>
          <cell r="AP18">
            <v>655.5</v>
          </cell>
          <cell r="AQ18">
            <v>707.59999999999991</v>
          </cell>
          <cell r="AR18">
            <v>729.6</v>
          </cell>
          <cell r="AS18">
            <v>741.5</v>
          </cell>
          <cell r="AT18">
            <v>2834.2000000000003</v>
          </cell>
          <cell r="AU18">
            <v>694.7</v>
          </cell>
          <cell r="AV18">
            <v>732.1</v>
          </cell>
          <cell r="AW18">
            <v>734.30000000000007</v>
          </cell>
          <cell r="AX18">
            <v>774.40000000000009</v>
          </cell>
          <cell r="AY18">
            <v>2935.4999999999995</v>
          </cell>
          <cell r="AZ18">
            <v>764.69999999999993</v>
          </cell>
          <cell r="BA18">
            <v>847.8</v>
          </cell>
          <cell r="BB18">
            <v>954.30000000000007</v>
          </cell>
          <cell r="BC18">
            <v>973.28875999999991</v>
          </cell>
          <cell r="BD18">
            <v>3540.0887600000001</v>
          </cell>
          <cell r="BE18">
            <v>950.91575999999998</v>
          </cell>
          <cell r="BF18">
            <v>1034.9685824999999</v>
          </cell>
          <cell r="BG18">
            <v>1037.859283325</v>
          </cell>
          <cell r="BH18">
            <v>1050.66777755825</v>
          </cell>
          <cell r="BI18">
            <v>4074.4114033832498</v>
          </cell>
        </row>
        <row r="20">
          <cell r="A20" t="str">
            <v>Operating Earnings</v>
          </cell>
          <cell r="P20">
            <v>384.5</v>
          </cell>
          <cell r="Q20">
            <v>72.299999999999955</v>
          </cell>
          <cell r="R20">
            <v>100.10000000000002</v>
          </cell>
          <cell r="S20">
            <v>151</v>
          </cell>
          <cell r="T20">
            <v>130.70000000000005</v>
          </cell>
          <cell r="U20">
            <v>454.09999999999991</v>
          </cell>
          <cell r="V20">
            <v>78.599999999999909</v>
          </cell>
          <cell r="W20">
            <v>121.90000000000009</v>
          </cell>
          <cell r="X20">
            <v>138.09999999999991</v>
          </cell>
          <cell r="Y20">
            <v>122.09999999999991</v>
          </cell>
          <cell r="Z20">
            <v>460.70000000000027</v>
          </cell>
          <cell r="AA20">
            <v>102.89999999999998</v>
          </cell>
          <cell r="AB20">
            <v>166.19999999999993</v>
          </cell>
          <cell r="AC20">
            <v>225.80000000000018</v>
          </cell>
          <cell r="AD20">
            <v>166.10000000000014</v>
          </cell>
          <cell r="AE20">
            <v>661.00000000000091</v>
          </cell>
          <cell r="AF20">
            <v>106.70000000000005</v>
          </cell>
          <cell r="AG20">
            <v>127.89999999999986</v>
          </cell>
          <cell r="AH20">
            <v>140.10000000000002</v>
          </cell>
          <cell r="AI20">
            <v>117.90000000000009</v>
          </cell>
          <cell r="AJ20">
            <v>492.60000000000036</v>
          </cell>
          <cell r="AK20">
            <v>116.90000000000009</v>
          </cell>
          <cell r="AL20">
            <v>151.70000000000005</v>
          </cell>
          <cell r="AM20">
            <v>148.40000000000009</v>
          </cell>
          <cell r="AN20">
            <v>144.60000000000002</v>
          </cell>
          <cell r="AO20">
            <v>561.59999999999991</v>
          </cell>
          <cell r="AP20">
            <v>161.60000000000002</v>
          </cell>
          <cell r="AQ20">
            <v>197.90000000000009</v>
          </cell>
          <cell r="AR20">
            <v>162.29999999999995</v>
          </cell>
          <cell r="AS20">
            <v>160.79999999999995</v>
          </cell>
          <cell r="AT20">
            <v>682.59999999999991</v>
          </cell>
          <cell r="AU20">
            <v>100.09999999999991</v>
          </cell>
          <cell r="AV20">
            <v>123.79999999999995</v>
          </cell>
          <cell r="AW20">
            <v>172.19999999999993</v>
          </cell>
          <cell r="AX20">
            <v>152.39999999999986</v>
          </cell>
          <cell r="AY20">
            <v>548.50000000000045</v>
          </cell>
          <cell r="AZ20">
            <v>127.50000000000011</v>
          </cell>
          <cell r="BA20">
            <v>172.20000000000005</v>
          </cell>
          <cell r="BB20">
            <v>182.29999999999984</v>
          </cell>
          <cell r="BC20">
            <v>178.53124000000003</v>
          </cell>
          <cell r="BD20">
            <v>660.5312399999998</v>
          </cell>
          <cell r="BE20">
            <v>170.20824000000005</v>
          </cell>
          <cell r="BF20">
            <v>225.48141749999991</v>
          </cell>
          <cell r="BG20">
            <v>223.766716675</v>
          </cell>
          <cell r="BH20">
            <v>216.33422244174994</v>
          </cell>
          <cell r="BI20">
            <v>835.79059661674955</v>
          </cell>
        </row>
        <row r="21">
          <cell r="A21" t="str">
            <v>Operating Margin</v>
          </cell>
          <cell r="P21">
            <v>0.11797373588610703</v>
          </cell>
          <cell r="Q21">
            <v>9.7465624157454786E-2</v>
          </cell>
          <cell r="R21">
            <v>0.11485943775100405</v>
          </cell>
          <cell r="S21">
            <v>0.13737263464337698</v>
          </cell>
          <cell r="T21">
            <v>0.13119855450712711</v>
          </cell>
          <cell r="U21">
            <v>0.12244182597675733</v>
          </cell>
          <cell r="V21">
            <v>9.620563035495705E-2</v>
          </cell>
          <cell r="W21">
            <v>0.13442876047640065</v>
          </cell>
          <cell r="X21">
            <v>0.11527545909849742</v>
          </cell>
          <cell r="Y21">
            <v>0.11274238227146806</v>
          </cell>
          <cell r="Z21">
            <v>0.1150369556532162</v>
          </cell>
          <cell r="AA21">
            <v>0.10844135314574768</v>
          </cell>
          <cell r="AB21">
            <v>0.15031201953513604</v>
          </cell>
          <cell r="AC21">
            <v>0.15654464780920699</v>
          </cell>
          <cell r="AD21">
            <v>0.13042795445622313</v>
          </cell>
          <cell r="AE21">
            <v>0.13855989938161636</v>
          </cell>
          <cell r="AF21">
            <v>0.13902280130293165</v>
          </cell>
          <cell r="AG21">
            <v>0.15961562461000858</v>
          </cell>
          <cell r="AH21">
            <v>0.16788496105452369</v>
          </cell>
          <cell r="AI21">
            <v>0.13808854532677453</v>
          </cell>
          <cell r="AJ21">
            <v>0.15123883208989602</v>
          </cell>
          <cell r="AK21">
            <v>0.13956542502387784</v>
          </cell>
          <cell r="AL21">
            <v>0.16602823683922516</v>
          </cell>
          <cell r="AM21">
            <v>0.16304108987035826</v>
          </cell>
          <cell r="AN21">
            <v>0.14604585395414607</v>
          </cell>
          <cell r="AO21">
            <v>0.15379559645087082</v>
          </cell>
          <cell r="AP21">
            <v>0.19777261045159714</v>
          </cell>
          <cell r="AQ21">
            <v>0.21855328547763678</v>
          </cell>
          <cell r="AR21">
            <v>0.18197107299024551</v>
          </cell>
          <cell r="AS21">
            <v>0.17821123794746754</v>
          </cell>
          <cell r="AT21">
            <v>0.1940969062784349</v>
          </cell>
          <cell r="AU21">
            <v>0.12594363361852026</v>
          </cell>
          <cell r="AV21">
            <v>0.14464306577871242</v>
          </cell>
          <cell r="AW21">
            <v>0.18996138996138989</v>
          </cell>
          <cell r="AX21">
            <v>0.16443677168752682</v>
          </cell>
          <cell r="AY21">
            <v>0.15743398392652136</v>
          </cell>
          <cell r="AZ21">
            <v>0.14290517821116352</v>
          </cell>
          <cell r="BA21">
            <v>0.16882352941176476</v>
          </cell>
          <cell r="BB21">
            <v>0.16039063874714046</v>
          </cell>
          <cell r="BC21">
            <v>0.15499925335555906</v>
          </cell>
          <cell r="BD21">
            <v>0.15724613033314125</v>
          </cell>
          <cell r="BE21">
            <v>0.15181928136405967</v>
          </cell>
          <cell r="BF21">
            <v>0.1788896168035225</v>
          </cell>
          <cell r="BG21">
            <v>0.17736374858714071</v>
          </cell>
          <cell r="BH21">
            <v>0.17074497312691689</v>
          </cell>
          <cell r="BI21">
            <v>0.17021511469726697</v>
          </cell>
        </row>
        <row r="23">
          <cell r="A23" t="str">
            <v>Royalty, Interest &amp; Dividend Inc.</v>
          </cell>
          <cell r="P23">
            <v>27.6</v>
          </cell>
          <cell r="Q23">
            <v>11.4</v>
          </cell>
          <cell r="R23">
            <v>8</v>
          </cell>
          <cell r="S23">
            <v>9</v>
          </cell>
          <cell r="T23">
            <v>6.9</v>
          </cell>
          <cell r="U23">
            <v>35.299999999999997</v>
          </cell>
          <cell r="V23">
            <v>6.4</v>
          </cell>
          <cell r="W23">
            <v>6</v>
          </cell>
          <cell r="X23">
            <v>9.4</v>
          </cell>
          <cell r="Y23">
            <v>8.1</v>
          </cell>
          <cell r="Z23">
            <v>29.9</v>
          </cell>
          <cell r="AA23">
            <v>7.7</v>
          </cell>
          <cell r="AB23">
            <v>3.5</v>
          </cell>
          <cell r="AC23">
            <v>10.3</v>
          </cell>
          <cell r="AD23">
            <v>7.2</v>
          </cell>
          <cell r="AE23">
            <v>28.7</v>
          </cell>
          <cell r="AF23">
            <v>6.7</v>
          </cell>
          <cell r="AG23">
            <v>8.8000000000000007</v>
          </cell>
          <cell r="AH23">
            <v>6.7</v>
          </cell>
          <cell r="AI23">
            <v>8.4</v>
          </cell>
          <cell r="AJ23">
            <v>30.6</v>
          </cell>
          <cell r="AK23">
            <v>8</v>
          </cell>
          <cell r="AL23">
            <v>7</v>
          </cell>
          <cell r="AM23">
            <v>9</v>
          </cell>
          <cell r="AN23">
            <v>8.9</v>
          </cell>
          <cell r="AO23">
            <v>32.9</v>
          </cell>
          <cell r="AP23">
            <v>9.9</v>
          </cell>
          <cell r="AQ23">
            <v>9.1</v>
          </cell>
          <cell r="AR23">
            <v>9.4</v>
          </cell>
          <cell r="AS23">
            <v>9.1</v>
          </cell>
          <cell r="AT23">
            <v>37.5</v>
          </cell>
          <cell r="AU23">
            <v>9.1</v>
          </cell>
          <cell r="AV23">
            <v>12</v>
          </cell>
          <cell r="AW23">
            <v>11.8</v>
          </cell>
          <cell r="AX23">
            <v>15.5</v>
          </cell>
          <cell r="AY23">
            <v>48.400000000000006</v>
          </cell>
          <cell r="AZ23">
            <v>9.9</v>
          </cell>
          <cell r="BA23">
            <v>11.2</v>
          </cell>
          <cell r="BB23">
            <v>8.5</v>
          </cell>
          <cell r="BC23">
            <v>8.5</v>
          </cell>
          <cell r="BD23">
            <v>38.1</v>
          </cell>
          <cell r="BE23">
            <v>8.9250000000000007</v>
          </cell>
          <cell r="BF23">
            <v>8.9250000000000007</v>
          </cell>
          <cell r="BG23">
            <v>8.9250000000000007</v>
          </cell>
          <cell r="BH23">
            <v>8.9250000000000007</v>
          </cell>
          <cell r="BI23">
            <v>35.700000000000003</v>
          </cell>
        </row>
        <row r="24">
          <cell r="A24" t="str">
            <v>Interest Expense</v>
          </cell>
          <cell r="P24">
            <v>58.1</v>
          </cell>
          <cell r="Q24">
            <v>14</v>
          </cell>
          <cell r="R24">
            <v>14.1</v>
          </cell>
          <cell r="S24">
            <v>17.8</v>
          </cell>
          <cell r="T24">
            <v>16.7</v>
          </cell>
          <cell r="U24">
            <v>62.6</v>
          </cell>
          <cell r="V24">
            <v>16.5</v>
          </cell>
          <cell r="W24">
            <v>18.600000000000001</v>
          </cell>
          <cell r="X24">
            <v>28.8</v>
          </cell>
          <cell r="Y24">
            <v>24.3</v>
          </cell>
          <cell r="Z24">
            <v>88.2</v>
          </cell>
          <cell r="AA24">
            <v>25.8</v>
          </cell>
          <cell r="AB24">
            <v>25.9</v>
          </cell>
          <cell r="AC24">
            <v>33.9</v>
          </cell>
          <cell r="AD24">
            <v>24.8</v>
          </cell>
          <cell r="AE24">
            <v>110.39999999999999</v>
          </cell>
          <cell r="AF24">
            <v>16.2</v>
          </cell>
          <cell r="AG24">
            <v>18</v>
          </cell>
          <cell r="AH24">
            <v>17.3</v>
          </cell>
          <cell r="AI24">
            <v>17.8</v>
          </cell>
          <cell r="AJ24">
            <v>69.3</v>
          </cell>
          <cell r="AK24">
            <v>17.7</v>
          </cell>
          <cell r="AL24">
            <v>18.3</v>
          </cell>
          <cell r="AM24">
            <v>17.8</v>
          </cell>
          <cell r="AN24">
            <v>15.3</v>
          </cell>
          <cell r="AO24">
            <v>69.099999999999994</v>
          </cell>
          <cell r="AP24">
            <v>21.2</v>
          </cell>
          <cell r="AQ24">
            <v>19.5</v>
          </cell>
          <cell r="AR24">
            <v>16.2</v>
          </cell>
          <cell r="AS24">
            <v>15.1</v>
          </cell>
          <cell r="AT24">
            <v>72</v>
          </cell>
          <cell r="AU24">
            <v>17.600000000000001</v>
          </cell>
          <cell r="AV24">
            <v>14.9</v>
          </cell>
          <cell r="AW24">
            <v>11.3</v>
          </cell>
          <cell r="AX24">
            <v>12.9</v>
          </cell>
          <cell r="AY24">
            <v>56.699999999999996</v>
          </cell>
          <cell r="AZ24">
            <v>16.3</v>
          </cell>
          <cell r="BA24">
            <v>17.2</v>
          </cell>
          <cell r="BB24">
            <v>22.6</v>
          </cell>
          <cell r="BC24">
            <v>23.278000000000002</v>
          </cell>
          <cell r="BD24">
            <v>79.378</v>
          </cell>
          <cell r="BE24">
            <v>25.605800000000006</v>
          </cell>
          <cell r="BF24">
            <v>25.605800000000006</v>
          </cell>
          <cell r="BG24">
            <v>25.605800000000006</v>
          </cell>
          <cell r="BH24">
            <v>25.605800000000006</v>
          </cell>
          <cell r="BI24">
            <v>102.42320000000002</v>
          </cell>
        </row>
        <row r="25">
          <cell r="A25" t="str">
            <v>Net Other Expense (Income)</v>
          </cell>
          <cell r="P25">
            <v>34.700000000000003</v>
          </cell>
          <cell r="Q25">
            <v>10.3</v>
          </cell>
          <cell r="R25">
            <v>2.6</v>
          </cell>
          <cell r="S25">
            <v>3.8</v>
          </cell>
          <cell r="T25">
            <v>17.2</v>
          </cell>
          <cell r="U25">
            <v>33.900000000000006</v>
          </cell>
          <cell r="V25">
            <v>3.1</v>
          </cell>
          <cell r="W25">
            <v>8.4</v>
          </cell>
          <cell r="X25">
            <v>9.9</v>
          </cell>
          <cell r="Y25">
            <v>16.5</v>
          </cell>
          <cell r="Z25">
            <v>37.9</v>
          </cell>
          <cell r="AA25">
            <v>5.8</v>
          </cell>
          <cell r="AB25">
            <v>3</v>
          </cell>
          <cell r="AC25">
            <v>27.5</v>
          </cell>
          <cell r="AD25">
            <v>1.2</v>
          </cell>
          <cell r="AE25">
            <v>37.5</v>
          </cell>
          <cell r="AF25">
            <v>8.6999999999999993</v>
          </cell>
          <cell r="AG25">
            <v>1.5</v>
          </cell>
          <cell r="AH25">
            <v>4.9000000000000004</v>
          </cell>
          <cell r="AI25">
            <v>6.2</v>
          </cell>
          <cell r="AJ25">
            <v>21.3</v>
          </cell>
          <cell r="AK25">
            <v>7.1</v>
          </cell>
          <cell r="AL25">
            <v>4.0999999999999996</v>
          </cell>
          <cell r="AM25">
            <v>8.5</v>
          </cell>
          <cell r="AN25">
            <v>18.399999999999999</v>
          </cell>
          <cell r="AO25">
            <v>38.099999999999994</v>
          </cell>
          <cell r="AP25">
            <v>6.8</v>
          </cell>
          <cell r="AQ25">
            <v>-1.8</v>
          </cell>
          <cell r="AR25">
            <v>5.4</v>
          </cell>
          <cell r="AS25">
            <v>8.5</v>
          </cell>
          <cell r="AT25">
            <v>18.899999999999999</v>
          </cell>
          <cell r="AU25">
            <v>27.1</v>
          </cell>
          <cell r="AV25">
            <v>2.6</v>
          </cell>
          <cell r="AW25">
            <v>10.7</v>
          </cell>
          <cell r="AX25">
            <v>15.3</v>
          </cell>
          <cell r="AY25">
            <v>55.7</v>
          </cell>
          <cell r="AZ25">
            <v>9.9</v>
          </cell>
          <cell r="BA25">
            <v>10.7</v>
          </cell>
          <cell r="BB25">
            <v>11.9</v>
          </cell>
          <cell r="BC25">
            <v>11.9</v>
          </cell>
          <cell r="BD25">
            <v>44.4</v>
          </cell>
          <cell r="BE25">
            <v>11.385</v>
          </cell>
          <cell r="BF25">
            <v>12.304999999999998</v>
          </cell>
          <cell r="BG25">
            <v>13.684999999999999</v>
          </cell>
          <cell r="BH25">
            <v>13.684999999999999</v>
          </cell>
          <cell r="BI25">
            <v>51.06</v>
          </cell>
        </row>
        <row r="27">
          <cell r="A27" t="str">
            <v>Pretax Income</v>
          </cell>
          <cell r="P27">
            <v>319.3</v>
          </cell>
          <cell r="Q27">
            <v>59.399999999999963</v>
          </cell>
          <cell r="R27">
            <v>91.400000000000034</v>
          </cell>
          <cell r="S27">
            <v>138.39999999999998</v>
          </cell>
          <cell r="T27">
            <v>103.70000000000005</v>
          </cell>
          <cell r="U27">
            <v>392.89999999999986</v>
          </cell>
          <cell r="V27">
            <v>65.39999999999992</v>
          </cell>
          <cell r="W27">
            <v>100.90000000000009</v>
          </cell>
          <cell r="X27">
            <v>108.79999999999991</v>
          </cell>
          <cell r="Y27">
            <v>89.399999999999906</v>
          </cell>
          <cell r="Z27">
            <v>364.50000000000028</v>
          </cell>
          <cell r="AA27">
            <v>78.999999999999986</v>
          </cell>
          <cell r="AB27">
            <v>140.79999999999993</v>
          </cell>
          <cell r="AC27">
            <v>174.70000000000019</v>
          </cell>
          <cell r="AD27">
            <v>147.30000000000013</v>
          </cell>
          <cell r="AE27">
            <v>541.80000000000098</v>
          </cell>
          <cell r="AF27">
            <v>88.500000000000043</v>
          </cell>
          <cell r="AG27">
            <v>117.19999999999987</v>
          </cell>
          <cell r="AH27">
            <v>124.6</v>
          </cell>
          <cell r="AI27">
            <v>102.3000000000001</v>
          </cell>
          <cell r="AJ27">
            <v>432.60000000000036</v>
          </cell>
          <cell r="AK27">
            <v>100.10000000000009</v>
          </cell>
          <cell r="AL27">
            <v>136.30000000000004</v>
          </cell>
          <cell r="AM27">
            <v>131.10000000000008</v>
          </cell>
          <cell r="AN27">
            <v>119.80000000000001</v>
          </cell>
          <cell r="AO27">
            <v>487.29999999999984</v>
          </cell>
          <cell r="AP27">
            <v>143.50000000000003</v>
          </cell>
          <cell r="AQ27">
            <v>189.3000000000001</v>
          </cell>
          <cell r="AR27">
            <v>150.09999999999997</v>
          </cell>
          <cell r="AS27">
            <v>146.29999999999995</v>
          </cell>
          <cell r="AT27">
            <v>629.19999999999993</v>
          </cell>
          <cell r="AU27">
            <v>64.499999999999915</v>
          </cell>
          <cell r="AV27">
            <v>118.29999999999995</v>
          </cell>
          <cell r="AW27">
            <v>161.99999999999994</v>
          </cell>
          <cell r="AX27">
            <v>139.69999999999985</v>
          </cell>
          <cell r="AY27">
            <v>484.5000000000004</v>
          </cell>
          <cell r="AZ27">
            <v>111.20000000000012</v>
          </cell>
          <cell r="BA27">
            <v>155.50000000000006</v>
          </cell>
          <cell r="BB27">
            <v>156.29999999999984</v>
          </cell>
          <cell r="BC27">
            <v>151.85324000000003</v>
          </cell>
          <cell r="BD27">
            <v>574.8532399999998</v>
          </cell>
          <cell r="BE27">
            <v>142.14244000000005</v>
          </cell>
          <cell r="BF27">
            <v>196.4956174999999</v>
          </cell>
          <cell r="BG27">
            <v>193.40091667499999</v>
          </cell>
          <cell r="BH27">
            <v>185.96842244174994</v>
          </cell>
          <cell r="BI27">
            <v>718.00739661674947</v>
          </cell>
        </row>
        <row r="28">
          <cell r="A28" t="str">
            <v>Pretax Margin</v>
          </cell>
          <cell r="P28">
            <v>9.7968826705940121E-2</v>
          </cell>
          <cell r="Q28">
            <v>8.0075492046373639E-2</v>
          </cell>
          <cell r="R28">
            <v>0.10487664945496275</v>
          </cell>
          <cell r="S28">
            <v>0.1259097525473071</v>
          </cell>
          <cell r="T28">
            <v>0.10409556313993178</v>
          </cell>
          <cell r="U28">
            <v>0.10594008682287591</v>
          </cell>
          <cell r="V28">
            <v>8.0048959608323034E-2</v>
          </cell>
          <cell r="W28">
            <v>0.11127040141155722</v>
          </cell>
          <cell r="X28">
            <v>9.0818030050083404E-2</v>
          </cell>
          <cell r="Y28">
            <v>8.2548476454293543E-2</v>
          </cell>
          <cell r="Z28">
            <v>9.1015781062724802E-2</v>
          </cell>
          <cell r="AA28">
            <v>8.3254294446200847E-2</v>
          </cell>
          <cell r="AB28">
            <v>0.12734014651352077</v>
          </cell>
          <cell r="AC28">
            <v>0.12111758180809774</v>
          </cell>
          <cell r="AD28">
            <v>0.11566548881036523</v>
          </cell>
          <cell r="AE28">
            <v>0.11357300073367592</v>
          </cell>
          <cell r="AF28">
            <v>0.11530944625407172</v>
          </cell>
          <cell r="AG28">
            <v>0.14626232372394843</v>
          </cell>
          <cell r="AH28">
            <v>0.1493109646494907</v>
          </cell>
          <cell r="AI28">
            <v>0.11981728742094179</v>
          </cell>
          <cell r="AJ28">
            <v>0.13281753707285632</v>
          </cell>
          <cell r="AK28">
            <v>0.11950811843361997</v>
          </cell>
          <cell r="AL28">
            <v>0.14917368939476855</v>
          </cell>
          <cell r="AM28">
            <v>0.14403427818061973</v>
          </cell>
          <cell r="AN28">
            <v>0.120997879002121</v>
          </cell>
          <cell r="AO28">
            <v>0.13344835140760211</v>
          </cell>
          <cell r="AP28">
            <v>0.1756210990086893</v>
          </cell>
          <cell r="AQ28">
            <v>0.2090557702926561</v>
          </cell>
          <cell r="AR28">
            <v>0.16829240946294424</v>
          </cell>
          <cell r="AS28">
            <v>0.16214119472459265</v>
          </cell>
          <cell r="AT28">
            <v>0.17891264786169242</v>
          </cell>
          <cell r="AU28">
            <v>8.1152491192752793E-2</v>
          </cell>
          <cell r="AV28">
            <v>0.13821708143474701</v>
          </cell>
          <cell r="AW28">
            <v>0.17870932156646435</v>
          </cell>
          <cell r="AX28">
            <v>0.1507337073802329</v>
          </cell>
          <cell r="AY28">
            <v>0.1390642939150403</v>
          </cell>
          <cell r="AZ28">
            <v>0.12463573189867755</v>
          </cell>
          <cell r="BA28">
            <v>0.15245098039215693</v>
          </cell>
          <cell r="BB28">
            <v>0.13751539679746599</v>
          </cell>
          <cell r="BC28">
            <v>0.13183764824364921</v>
          </cell>
          <cell r="BD28">
            <v>0.13684961743742585</v>
          </cell>
          <cell r="BE28">
            <v>0.1267856543968375</v>
          </cell>
          <cell r="BF28">
            <v>0.1558932266254115</v>
          </cell>
          <cell r="BG28">
            <v>0.15329496750621815</v>
          </cell>
          <cell r="BH28">
            <v>0.14677831798351537</v>
          </cell>
          <cell r="BI28">
            <v>0.14622766978155879</v>
          </cell>
        </row>
        <row r="30">
          <cell r="A30" t="str">
            <v>Provision For Income Taxes</v>
          </cell>
          <cell r="P30">
            <v>117.5</v>
          </cell>
          <cell r="Q30">
            <v>19.3</v>
          </cell>
          <cell r="R30">
            <v>33.4</v>
          </cell>
          <cell r="S30">
            <v>48</v>
          </cell>
          <cell r="T30">
            <v>29.400000000000002</v>
          </cell>
          <cell r="U30">
            <v>130.10000000000002</v>
          </cell>
          <cell r="V30">
            <v>22.459400000000002</v>
          </cell>
          <cell r="W30">
            <v>34.700000000000003</v>
          </cell>
          <cell r="X30">
            <v>34.000000000000007</v>
          </cell>
          <cell r="Y30">
            <v>26.8</v>
          </cell>
          <cell r="Z30">
            <v>117.95940000000002</v>
          </cell>
          <cell r="AA30">
            <v>29.6</v>
          </cell>
          <cell r="AB30">
            <v>53.4</v>
          </cell>
          <cell r="AC30">
            <v>60.970300000000073</v>
          </cell>
          <cell r="AD30">
            <v>53</v>
          </cell>
          <cell r="AE30">
            <v>196.97030000000007</v>
          </cell>
          <cell r="AF30">
            <v>28.8</v>
          </cell>
          <cell r="AG30">
            <v>36.200000000000003</v>
          </cell>
          <cell r="AH30">
            <v>35.700000000000003</v>
          </cell>
          <cell r="AI30">
            <v>27.9</v>
          </cell>
          <cell r="AJ30">
            <v>128.60000000000002</v>
          </cell>
          <cell r="AK30">
            <v>33.5</v>
          </cell>
          <cell r="AL30">
            <v>45.7</v>
          </cell>
          <cell r="AM30">
            <v>43.9</v>
          </cell>
          <cell r="AN30">
            <v>40.1</v>
          </cell>
          <cell r="AO30">
            <v>163.19999999999999</v>
          </cell>
          <cell r="AP30">
            <v>49</v>
          </cell>
          <cell r="AQ30">
            <v>64.2</v>
          </cell>
          <cell r="AR30">
            <v>48</v>
          </cell>
          <cell r="AS30">
            <v>48.3</v>
          </cell>
          <cell r="AT30">
            <v>209.5</v>
          </cell>
          <cell r="AU30">
            <v>20.962499999999974</v>
          </cell>
          <cell r="AV30">
            <v>38.447499999999984</v>
          </cell>
          <cell r="AW30">
            <v>49.2</v>
          </cell>
          <cell r="AX30">
            <v>39.255699999999962</v>
          </cell>
          <cell r="AY30">
            <v>147.86569999999992</v>
          </cell>
          <cell r="AZ30">
            <v>33.916000000000032</v>
          </cell>
          <cell r="BA30">
            <v>47.4</v>
          </cell>
          <cell r="BB30">
            <v>45.639599999999952</v>
          </cell>
          <cell r="BC30">
            <v>45.555972000000004</v>
          </cell>
          <cell r="BD30">
            <v>172.51157199999997</v>
          </cell>
          <cell r="BE30">
            <v>43.353444200000013</v>
          </cell>
          <cell r="BF30">
            <v>59.931163337499967</v>
          </cell>
          <cell r="BG30">
            <v>58.987279585874994</v>
          </cell>
          <cell r="BH30">
            <v>56.720368844733727</v>
          </cell>
          <cell r="BI30">
            <v>218.99225596810868</v>
          </cell>
        </row>
        <row r="31">
          <cell r="A31" t="str">
            <v>Tax Rate</v>
          </cell>
          <cell r="P31">
            <v>0.36799248355778263</v>
          </cell>
          <cell r="Q31">
            <v>0.3249158249158251</v>
          </cell>
          <cell r="R31">
            <v>0.36542669584245063</v>
          </cell>
          <cell r="S31">
            <v>0.34682080924855496</v>
          </cell>
          <cell r="T31">
            <v>0.28351012536161996</v>
          </cell>
          <cell r="U31">
            <v>0.33112751336217883</v>
          </cell>
          <cell r="V31">
            <v>0.34341590214067325</v>
          </cell>
          <cell r="W31">
            <v>0.34390485629335948</v>
          </cell>
          <cell r="X31">
            <v>0.31250000000000033</v>
          </cell>
          <cell r="Y31">
            <v>0.29977628635346787</v>
          </cell>
          <cell r="Z31">
            <v>0.32361975308641955</v>
          </cell>
          <cell r="AA31">
            <v>0.37468354430379758</v>
          </cell>
          <cell r="AB31">
            <v>0.37926136363636381</v>
          </cell>
          <cell r="AC31">
            <v>0.34900000000000003</v>
          </cell>
          <cell r="AD31">
            <v>0.35980991174473831</v>
          </cell>
          <cell r="AE31">
            <v>0.36354798818752254</v>
          </cell>
          <cell r="AF31">
            <v>0.32542372881355919</v>
          </cell>
          <cell r="AG31">
            <v>0.30887372013651915</v>
          </cell>
          <cell r="AH31">
            <v>0.2865168539325843</v>
          </cell>
          <cell r="AI31">
            <v>0.27272727272727243</v>
          </cell>
          <cell r="AJ31">
            <v>0.29727230698104462</v>
          </cell>
          <cell r="AK31">
            <v>0.33466533466533432</v>
          </cell>
          <cell r="AL31">
            <v>0.33528980190755681</v>
          </cell>
          <cell r="AM31">
            <v>0.33485888634630034</v>
          </cell>
          <cell r="AN31">
            <v>0.3347245409015025</v>
          </cell>
          <cell r="AO31">
            <v>0.33490662836035306</v>
          </cell>
          <cell r="AP31">
            <v>0.34146341463414626</v>
          </cell>
          <cell r="AQ31">
            <v>0.33914421553090318</v>
          </cell>
          <cell r="AR31">
            <v>0.31978680879413729</v>
          </cell>
          <cell r="AS31">
            <v>0.33014354066985652</v>
          </cell>
          <cell r="AT31">
            <v>0.33296249205340117</v>
          </cell>
          <cell r="AU31">
            <v>0.32500000000000001</v>
          </cell>
          <cell r="AV31">
            <v>0.32500000000000001</v>
          </cell>
          <cell r="AW31">
            <v>0.30370370370370381</v>
          </cell>
          <cell r="AX31">
            <v>0.28100000000000003</v>
          </cell>
          <cell r="AY31">
            <v>0.3051923632610935</v>
          </cell>
          <cell r="AZ31">
            <v>0.30499999999999999</v>
          </cell>
          <cell r="BA31">
            <v>0.30482315112540181</v>
          </cell>
          <cell r="BB31">
            <v>0.29199999999999998</v>
          </cell>
          <cell r="BC31">
            <v>0.3</v>
          </cell>
          <cell r="BD31">
            <v>0.30009672033856855</v>
          </cell>
          <cell r="BE31">
            <v>0.30499999999999999</v>
          </cell>
          <cell r="BF31">
            <v>0.30499999999999999</v>
          </cell>
          <cell r="BG31">
            <v>0.30499999999999999</v>
          </cell>
          <cell r="BH31">
            <v>0.30499999999999999</v>
          </cell>
          <cell r="BI31">
            <v>0.3050000000000001</v>
          </cell>
        </row>
        <row r="33">
          <cell r="A33" t="str">
            <v>Income After Taxes</v>
          </cell>
          <cell r="P33">
            <v>201.8</v>
          </cell>
          <cell r="Q33">
            <v>40.099999999999966</v>
          </cell>
          <cell r="R33">
            <v>58.000000000000036</v>
          </cell>
          <cell r="S33">
            <v>90.399999999999977</v>
          </cell>
          <cell r="T33">
            <v>74.30000000000004</v>
          </cell>
          <cell r="U33">
            <v>262.79999999999984</v>
          </cell>
          <cell r="V33">
            <v>42.940599999999918</v>
          </cell>
          <cell r="W33">
            <v>66.200000000000088</v>
          </cell>
          <cell r="X33">
            <v>74.799999999999898</v>
          </cell>
          <cell r="Y33">
            <v>62.599999999999909</v>
          </cell>
          <cell r="Z33">
            <v>246.54060000000027</v>
          </cell>
          <cell r="AA33">
            <v>49.399999999999984</v>
          </cell>
          <cell r="AB33">
            <v>87.39999999999992</v>
          </cell>
          <cell r="AC33">
            <v>113.72970000000012</v>
          </cell>
          <cell r="AD33">
            <v>94.300000000000125</v>
          </cell>
          <cell r="AE33">
            <v>344.82970000000091</v>
          </cell>
          <cell r="AF33">
            <v>59.700000000000045</v>
          </cell>
          <cell r="AG33">
            <v>80.999999999999872</v>
          </cell>
          <cell r="AH33">
            <v>88.899999999999991</v>
          </cell>
          <cell r="AI33">
            <v>74.400000000000091</v>
          </cell>
          <cell r="AJ33">
            <v>304.00000000000034</v>
          </cell>
          <cell r="AK33">
            <v>66.600000000000094</v>
          </cell>
          <cell r="AL33">
            <v>90.600000000000037</v>
          </cell>
          <cell r="AM33">
            <v>87.200000000000074</v>
          </cell>
          <cell r="AN33">
            <v>79.700000000000017</v>
          </cell>
          <cell r="AO33">
            <v>324.09999999999985</v>
          </cell>
          <cell r="AP33">
            <v>94.500000000000028</v>
          </cell>
          <cell r="AQ33">
            <v>125.10000000000009</v>
          </cell>
          <cell r="AR33">
            <v>102.09999999999997</v>
          </cell>
          <cell r="AS33">
            <v>97.999999999999957</v>
          </cell>
          <cell r="AT33">
            <v>419.69999999999993</v>
          </cell>
          <cell r="AU33">
            <v>43.537499999999937</v>
          </cell>
          <cell r="AV33">
            <v>79.852499999999964</v>
          </cell>
          <cell r="AW33">
            <v>112.79999999999994</v>
          </cell>
          <cell r="AX33">
            <v>100.44429999999988</v>
          </cell>
          <cell r="AY33">
            <v>336.63430000000051</v>
          </cell>
          <cell r="AZ33">
            <v>77.284000000000077</v>
          </cell>
          <cell r="BA33">
            <v>108.10000000000005</v>
          </cell>
          <cell r="BB33">
            <v>110.6603999999999</v>
          </cell>
          <cell r="BC33">
            <v>106.29726800000003</v>
          </cell>
          <cell r="BD33">
            <v>402.3416679999998</v>
          </cell>
          <cell r="BE33">
            <v>98.788995800000038</v>
          </cell>
          <cell r="BF33">
            <v>136.56445416249994</v>
          </cell>
          <cell r="BG33">
            <v>134.41363708912499</v>
          </cell>
          <cell r="BH33">
            <v>129.24805359701622</v>
          </cell>
          <cell r="BI33">
            <v>499.0151406486408</v>
          </cell>
        </row>
        <row r="34">
          <cell r="A34" t="str">
            <v>Equity In Earnings Of Assoc. Cos.</v>
          </cell>
          <cell r="P34">
            <v>119.9</v>
          </cell>
          <cell r="Q34">
            <v>14.5</v>
          </cell>
          <cell r="R34">
            <v>26.1</v>
          </cell>
          <cell r="S34">
            <v>27.728999999999999</v>
          </cell>
          <cell r="T34">
            <v>18.8</v>
          </cell>
          <cell r="U34">
            <v>87.128999999999991</v>
          </cell>
          <cell r="V34">
            <v>7.2</v>
          </cell>
          <cell r="W34">
            <v>27.4</v>
          </cell>
          <cell r="X34">
            <v>31.3</v>
          </cell>
          <cell r="Y34">
            <v>26.699999999999989</v>
          </cell>
          <cell r="Z34">
            <v>92.59999999999998</v>
          </cell>
          <cell r="AA34">
            <v>4.1999999999999993</v>
          </cell>
          <cell r="AB34">
            <v>11.399999999999999</v>
          </cell>
          <cell r="AC34">
            <v>19.000000000000004</v>
          </cell>
          <cell r="AD34">
            <v>16.900000000000002</v>
          </cell>
          <cell r="AE34">
            <v>51.5</v>
          </cell>
          <cell r="AF34">
            <v>14.4</v>
          </cell>
          <cell r="AG34">
            <v>20.6</v>
          </cell>
          <cell r="AH34">
            <v>17</v>
          </cell>
          <cell r="AI34">
            <v>14.7</v>
          </cell>
          <cell r="AJ34">
            <v>66.7</v>
          </cell>
          <cell r="AK34">
            <v>11.6</v>
          </cell>
          <cell r="AL34">
            <v>22.5</v>
          </cell>
          <cell r="AM34">
            <v>24.4</v>
          </cell>
          <cell r="AN34">
            <v>26.6</v>
          </cell>
          <cell r="AO34">
            <v>85.1</v>
          </cell>
          <cell r="AP34">
            <v>6.8</v>
          </cell>
          <cell r="AQ34">
            <v>24.2</v>
          </cell>
          <cell r="AR34">
            <v>31</v>
          </cell>
          <cell r="AS34">
            <v>17.2</v>
          </cell>
          <cell r="AT34">
            <v>79.2</v>
          </cell>
          <cell r="AU34">
            <v>27.5</v>
          </cell>
          <cell r="AV34">
            <v>32.700000000000003</v>
          </cell>
          <cell r="AW34">
            <v>15.3</v>
          </cell>
          <cell r="AX34">
            <v>19.8</v>
          </cell>
          <cell r="AY34">
            <v>95.3</v>
          </cell>
          <cell r="AZ34">
            <v>21.6</v>
          </cell>
          <cell r="BA34">
            <v>31.1</v>
          </cell>
          <cell r="BB34">
            <v>32.200000000000003</v>
          </cell>
          <cell r="BC34">
            <v>28</v>
          </cell>
          <cell r="BD34">
            <v>112.9</v>
          </cell>
          <cell r="BE34">
            <v>23.760000000000005</v>
          </cell>
          <cell r="BF34">
            <v>34.21</v>
          </cell>
          <cell r="BG34">
            <v>35.420000000000009</v>
          </cell>
          <cell r="BH34">
            <v>30.800000000000004</v>
          </cell>
          <cell r="BI34">
            <v>124.19000000000003</v>
          </cell>
        </row>
        <row r="35">
          <cell r="A35" t="str">
            <v>Minority Int. In Earnings Of Subs.</v>
          </cell>
          <cell r="P35">
            <v>-17.3</v>
          </cell>
          <cell r="Q35">
            <v>-3.1</v>
          </cell>
          <cell r="R35">
            <v>-0.9</v>
          </cell>
          <cell r="S35">
            <v>-12.7</v>
          </cell>
          <cell r="T35">
            <v>-13.200000000000001</v>
          </cell>
          <cell r="U35">
            <v>-29.9</v>
          </cell>
          <cell r="V35">
            <v>-3.1</v>
          </cell>
          <cell r="W35">
            <v>-3.8</v>
          </cell>
          <cell r="X35">
            <v>-10</v>
          </cell>
          <cell r="Y35">
            <v>-7.1</v>
          </cell>
          <cell r="Z35">
            <v>-24.000000000000004</v>
          </cell>
          <cell r="AA35">
            <v>-7.9</v>
          </cell>
          <cell r="AB35">
            <v>-10</v>
          </cell>
          <cell r="AC35">
            <v>-21.1</v>
          </cell>
          <cell r="AD35">
            <v>-11.7</v>
          </cell>
          <cell r="AE35">
            <v>-50.699999999999996</v>
          </cell>
          <cell r="AF35">
            <v>-14.2</v>
          </cell>
          <cell r="AG35">
            <v>-17.899999999999999</v>
          </cell>
          <cell r="AH35">
            <v>-18.2</v>
          </cell>
          <cell r="AI35">
            <v>-14.1</v>
          </cell>
          <cell r="AJ35">
            <v>-64.399999999999991</v>
          </cell>
          <cell r="AK35">
            <v>-12.2</v>
          </cell>
          <cell r="AL35">
            <v>-15.8</v>
          </cell>
          <cell r="AM35">
            <v>-13</v>
          </cell>
          <cell r="AN35">
            <v>-11.6</v>
          </cell>
          <cell r="AO35">
            <v>-52.6</v>
          </cell>
          <cell r="AP35">
            <v>-12.5</v>
          </cell>
          <cell r="AQ35">
            <v>-20.8</v>
          </cell>
          <cell r="AR35">
            <v>-22.9</v>
          </cell>
          <cell r="AS35">
            <v>-20.100000000000001</v>
          </cell>
          <cell r="AT35">
            <v>-76.3</v>
          </cell>
          <cell r="AU35">
            <v>-5.5</v>
          </cell>
          <cell r="AV35">
            <v>-16.400000000000002</v>
          </cell>
          <cell r="AW35">
            <v>-20.3</v>
          </cell>
          <cell r="AX35">
            <v>-22.3</v>
          </cell>
          <cell r="AY35">
            <v>-64.5</v>
          </cell>
          <cell r="AZ35">
            <v>-10.1</v>
          </cell>
          <cell r="BA35">
            <v>-17.399999999999999</v>
          </cell>
          <cell r="BB35">
            <v>-9.1</v>
          </cell>
          <cell r="BC35">
            <v>-17.5</v>
          </cell>
          <cell r="BD35">
            <v>-54.1</v>
          </cell>
          <cell r="BE35">
            <v>-11.614999999999998</v>
          </cell>
          <cell r="BF35">
            <v>-20.009999999999998</v>
          </cell>
          <cell r="BG35">
            <v>-10.464999999999998</v>
          </cell>
          <cell r="BH35">
            <v>-20.125</v>
          </cell>
          <cell r="BI35">
            <v>-62.214999999999996</v>
          </cell>
        </row>
        <row r="36">
          <cell r="A36" t="str">
            <v>Income Before Unusual Items</v>
          </cell>
          <cell r="P36">
            <v>304.39999999999998</v>
          </cell>
          <cell r="Q36">
            <v>51.499999999999964</v>
          </cell>
          <cell r="R36">
            <v>83.200000000000031</v>
          </cell>
          <cell r="S36">
            <v>105.42899999999997</v>
          </cell>
          <cell r="T36">
            <v>79.900000000000034</v>
          </cell>
          <cell r="U36">
            <v>320.029</v>
          </cell>
          <cell r="V36">
            <v>47.04059999999992</v>
          </cell>
          <cell r="W36">
            <v>89.800000000000082</v>
          </cell>
          <cell r="X36">
            <v>96.099999999999895</v>
          </cell>
          <cell r="Y36">
            <v>82.199999999999903</v>
          </cell>
          <cell r="Z36">
            <v>315.14059999999978</v>
          </cell>
          <cell r="AA36">
            <v>45.699999999999982</v>
          </cell>
          <cell r="AB36">
            <v>88.799999999999926</v>
          </cell>
          <cell r="AC36">
            <v>111.62970000000013</v>
          </cell>
          <cell r="AD36">
            <v>99.500000000000128</v>
          </cell>
          <cell r="AE36">
            <v>345.62970000000092</v>
          </cell>
          <cell r="AF36">
            <v>59.900000000000048</v>
          </cell>
          <cell r="AG36">
            <v>83.699999999999875</v>
          </cell>
          <cell r="AH36">
            <v>87.699999999999989</v>
          </cell>
          <cell r="AI36">
            <v>75.000000000000099</v>
          </cell>
          <cell r="AJ36">
            <v>306.30000000000035</v>
          </cell>
          <cell r="AK36">
            <v>66.000000000000085</v>
          </cell>
          <cell r="AL36">
            <v>97.30000000000004</v>
          </cell>
          <cell r="AM36">
            <v>98.60000000000008</v>
          </cell>
          <cell r="AN36">
            <v>94.700000000000017</v>
          </cell>
          <cell r="AO36">
            <v>356.5999999999998</v>
          </cell>
          <cell r="AP36">
            <v>88.800000000000026</v>
          </cell>
          <cell r="AQ36">
            <v>128.50000000000009</v>
          </cell>
          <cell r="AR36">
            <v>110.19999999999996</v>
          </cell>
          <cell r="AS36">
            <v>95.099999999999966</v>
          </cell>
          <cell r="AT36">
            <v>422.59999999999991</v>
          </cell>
          <cell r="AU36">
            <v>65.537499999999937</v>
          </cell>
          <cell r="AV36">
            <v>96.152499999999961</v>
          </cell>
          <cell r="AW36">
            <v>107.79999999999994</v>
          </cell>
          <cell r="AX36">
            <v>97.944299999999885</v>
          </cell>
          <cell r="AY36">
            <v>367.43430000000052</v>
          </cell>
          <cell r="AZ36">
            <v>88.784000000000077</v>
          </cell>
          <cell r="BA36">
            <v>121.80000000000004</v>
          </cell>
          <cell r="BB36">
            <v>133.76039999999992</v>
          </cell>
          <cell r="BC36">
            <v>116.79726800000003</v>
          </cell>
          <cell r="BD36">
            <v>461.14166799999975</v>
          </cell>
          <cell r="BE36">
            <v>110.93399580000005</v>
          </cell>
          <cell r="BF36">
            <v>150.76445416249996</v>
          </cell>
          <cell r="BG36">
            <v>159.368637089125</v>
          </cell>
          <cell r="BH36">
            <v>139.92305359701624</v>
          </cell>
          <cell r="BI36">
            <v>560.99014064864082</v>
          </cell>
        </row>
        <row r="37">
          <cell r="A37" t="str">
            <v>Unusual Credits (Charges)</v>
          </cell>
          <cell r="P37">
            <v>12</v>
          </cell>
          <cell r="Q37">
            <v>22.000000000000004</v>
          </cell>
          <cell r="R37">
            <v>0.3</v>
          </cell>
          <cell r="S37">
            <v>-5.1289999999999996</v>
          </cell>
          <cell r="T37">
            <v>12.306000000000001</v>
          </cell>
          <cell r="U37">
            <v>29.477000000000004</v>
          </cell>
          <cell r="V37">
            <v>2.7594000000000003</v>
          </cell>
          <cell r="W37">
            <v>0</v>
          </cell>
          <cell r="X37">
            <v>-137.4</v>
          </cell>
          <cell r="Y37">
            <v>0</v>
          </cell>
          <cell r="Z37">
            <v>-134.64060000000001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</row>
        <row r="39">
          <cell r="A39" t="str">
            <v>Net Income</v>
          </cell>
          <cell r="P39">
            <v>316.39999999999998</v>
          </cell>
          <cell r="Q39">
            <v>73.499999999999972</v>
          </cell>
          <cell r="R39">
            <v>83.500000000000028</v>
          </cell>
          <cell r="S39">
            <v>100.29999999999997</v>
          </cell>
          <cell r="T39">
            <v>92.206000000000031</v>
          </cell>
          <cell r="U39">
            <v>349.50599999999997</v>
          </cell>
          <cell r="V39">
            <v>49.799999999999919</v>
          </cell>
          <cell r="W39">
            <v>89.800000000000082</v>
          </cell>
          <cell r="X39">
            <v>-41.300000000000111</v>
          </cell>
          <cell r="Y39">
            <v>82.199999999999903</v>
          </cell>
          <cell r="Z39">
            <v>180.49999999999977</v>
          </cell>
          <cell r="AA39">
            <v>45.699999999999982</v>
          </cell>
          <cell r="AB39">
            <v>88.799999999999926</v>
          </cell>
          <cell r="AC39">
            <v>111.62970000000013</v>
          </cell>
          <cell r="AD39">
            <v>99.500000000000128</v>
          </cell>
          <cell r="AE39">
            <v>345.62970000000092</v>
          </cell>
          <cell r="AF39">
            <v>59.900000000000048</v>
          </cell>
          <cell r="AG39">
            <v>83.699999999999875</v>
          </cell>
          <cell r="AH39">
            <v>87.699999999999989</v>
          </cell>
          <cell r="AI39">
            <v>75.000000000000099</v>
          </cell>
          <cell r="AJ39">
            <v>306.30000000000035</v>
          </cell>
          <cell r="AK39">
            <v>66.000000000000085</v>
          </cell>
          <cell r="AL39">
            <v>97.30000000000004</v>
          </cell>
          <cell r="AM39">
            <v>98.60000000000008</v>
          </cell>
          <cell r="AN39">
            <v>94.700000000000017</v>
          </cell>
          <cell r="AO39">
            <v>356.5999999999998</v>
          </cell>
          <cell r="AP39">
            <v>88.800000000000026</v>
          </cell>
          <cell r="AQ39">
            <v>128.50000000000009</v>
          </cell>
          <cell r="AR39">
            <v>110.19999999999996</v>
          </cell>
          <cell r="AS39">
            <v>95.099999999999966</v>
          </cell>
          <cell r="AT39">
            <v>422.59999999999991</v>
          </cell>
          <cell r="AU39">
            <v>65.537499999999937</v>
          </cell>
          <cell r="AV39">
            <v>96.152499999999961</v>
          </cell>
          <cell r="AW39">
            <v>107.79999999999994</v>
          </cell>
          <cell r="AX39">
            <v>97.944299999999885</v>
          </cell>
          <cell r="AY39">
            <v>367.43430000000052</v>
          </cell>
          <cell r="AZ39">
            <v>88.784000000000077</v>
          </cell>
          <cell r="BA39">
            <v>121.80000000000004</v>
          </cell>
          <cell r="BB39">
            <v>133.76039999999992</v>
          </cell>
          <cell r="BC39">
            <v>116.79726800000003</v>
          </cell>
          <cell r="BD39">
            <v>461.14166799999975</v>
          </cell>
          <cell r="BE39">
            <v>110.93399580000005</v>
          </cell>
          <cell r="BF39">
            <v>150.76445416249996</v>
          </cell>
          <cell r="BG39">
            <v>159.368637089125</v>
          </cell>
          <cell r="BH39">
            <v>139.92305359701624</v>
          </cell>
          <cell r="BI39">
            <v>560.99014064864082</v>
          </cell>
        </row>
        <row r="40">
          <cell r="A40" t="str">
            <v>Preferred Dividends</v>
          </cell>
          <cell r="P40">
            <v>2.4</v>
          </cell>
          <cell r="Q40">
            <v>0.6</v>
          </cell>
          <cell r="R40">
            <v>0.5</v>
          </cell>
          <cell r="S40">
            <v>0.5</v>
          </cell>
          <cell r="T40">
            <v>0.5</v>
          </cell>
          <cell r="U40">
            <v>2.1</v>
          </cell>
          <cell r="V40">
            <v>0.5</v>
          </cell>
          <cell r="W40">
            <v>0.5</v>
          </cell>
          <cell r="X40">
            <v>0.5</v>
          </cell>
          <cell r="Y40">
            <v>0.5</v>
          </cell>
          <cell r="Z40">
            <v>2</v>
          </cell>
          <cell r="AA40">
            <v>0.5</v>
          </cell>
          <cell r="AB40">
            <v>0.5</v>
          </cell>
          <cell r="AC40">
            <v>3.2</v>
          </cell>
          <cell r="AD40">
            <v>3.4</v>
          </cell>
          <cell r="AE40">
            <v>7.6</v>
          </cell>
          <cell r="AF40">
            <v>3.4</v>
          </cell>
          <cell r="AG40">
            <v>3.35</v>
          </cell>
          <cell r="AH40">
            <v>3.4</v>
          </cell>
          <cell r="AI40">
            <v>3.5</v>
          </cell>
          <cell r="AJ40">
            <v>13.65</v>
          </cell>
          <cell r="AK40">
            <v>3.9000000000000004</v>
          </cell>
          <cell r="AL40">
            <v>4</v>
          </cell>
          <cell r="AM40">
            <v>3.9</v>
          </cell>
          <cell r="AN40">
            <v>3.9000000000000004</v>
          </cell>
          <cell r="AO40">
            <v>15.700000000000001</v>
          </cell>
          <cell r="AP40">
            <v>3.4</v>
          </cell>
          <cell r="AQ40">
            <v>3.5</v>
          </cell>
          <cell r="AR40">
            <v>3.4</v>
          </cell>
          <cell r="AS40">
            <v>3.4</v>
          </cell>
          <cell r="AT40">
            <v>13.700000000000001</v>
          </cell>
          <cell r="AU40">
            <v>3.4</v>
          </cell>
          <cell r="AV40">
            <v>3.5</v>
          </cell>
          <cell r="AW40">
            <v>3.4</v>
          </cell>
          <cell r="AX40">
            <v>3.4</v>
          </cell>
          <cell r="AY40">
            <v>13.700000000000001</v>
          </cell>
          <cell r="AZ40">
            <v>2.2999999999999998</v>
          </cell>
          <cell r="BA40">
            <v>0</v>
          </cell>
          <cell r="BB40">
            <v>0</v>
          </cell>
          <cell r="BC40">
            <v>0</v>
          </cell>
          <cell r="BD40">
            <v>2.2999999999999998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</row>
        <row r="41">
          <cell r="A41" t="str">
            <v>Net Avail. For Common</v>
          </cell>
          <cell r="P41">
            <v>314</v>
          </cell>
          <cell r="Q41">
            <v>72.899999999999977</v>
          </cell>
          <cell r="R41">
            <v>83.000000000000028</v>
          </cell>
          <cell r="S41">
            <v>99.799999999999969</v>
          </cell>
          <cell r="T41">
            <v>91.706000000000031</v>
          </cell>
          <cell r="U41">
            <v>347.40599999999995</v>
          </cell>
          <cell r="V41">
            <v>49.299999999999919</v>
          </cell>
          <cell r="W41">
            <v>89.300000000000082</v>
          </cell>
          <cell r="X41">
            <v>-41.800000000000111</v>
          </cell>
          <cell r="Y41">
            <v>81.699999999999903</v>
          </cell>
          <cell r="Z41">
            <v>178.49999999999977</v>
          </cell>
          <cell r="AA41">
            <v>45.199999999999982</v>
          </cell>
          <cell r="AB41">
            <v>88.299999999999926</v>
          </cell>
          <cell r="AC41">
            <v>108.42970000000012</v>
          </cell>
          <cell r="AD41">
            <v>96.100000000000122</v>
          </cell>
          <cell r="AE41">
            <v>338.0297000000009</v>
          </cell>
          <cell r="AF41">
            <v>56.50000000000005</v>
          </cell>
          <cell r="AG41">
            <v>80.349999999999881</v>
          </cell>
          <cell r="AH41">
            <v>84.299999999999983</v>
          </cell>
          <cell r="AI41">
            <v>71.500000000000099</v>
          </cell>
          <cell r="AJ41">
            <v>292.65000000000038</v>
          </cell>
          <cell r="AK41">
            <v>62.100000000000087</v>
          </cell>
          <cell r="AL41">
            <v>93.30000000000004</v>
          </cell>
          <cell r="AM41">
            <v>94.700000000000074</v>
          </cell>
          <cell r="AN41">
            <v>90.800000000000011</v>
          </cell>
          <cell r="AO41">
            <v>340.89999999999981</v>
          </cell>
          <cell r="AP41">
            <v>85.40000000000002</v>
          </cell>
          <cell r="AQ41">
            <v>125.00000000000009</v>
          </cell>
          <cell r="AR41">
            <v>106.79999999999995</v>
          </cell>
          <cell r="AS41">
            <v>91.69999999999996</v>
          </cell>
          <cell r="AT41">
            <v>408.89999999999992</v>
          </cell>
          <cell r="AU41">
            <v>62.137499999999939</v>
          </cell>
          <cell r="AV41">
            <v>92.652499999999961</v>
          </cell>
          <cell r="AW41">
            <v>104.39999999999993</v>
          </cell>
          <cell r="AX41">
            <v>94.544299999999879</v>
          </cell>
          <cell r="AY41">
            <v>353.73430000000053</v>
          </cell>
          <cell r="AZ41">
            <v>86.48400000000008</v>
          </cell>
          <cell r="BA41">
            <v>121.80000000000004</v>
          </cell>
          <cell r="BB41">
            <v>133.76039999999992</v>
          </cell>
          <cell r="BC41">
            <v>116.79726800000003</v>
          </cell>
          <cell r="BD41">
            <v>458.84166799999974</v>
          </cell>
          <cell r="BE41">
            <v>110.93399580000005</v>
          </cell>
          <cell r="BF41">
            <v>150.76445416249996</v>
          </cell>
          <cell r="BG41">
            <v>159.368637089125</v>
          </cell>
          <cell r="BH41">
            <v>139.92305359701624</v>
          </cell>
          <cell r="BI41">
            <v>560.99014064864082</v>
          </cell>
        </row>
        <row r="43">
          <cell r="A43" t="str">
            <v>Avg. Shares Outstanding (Mil.)</v>
          </cell>
          <cell r="P43">
            <v>186.41</v>
          </cell>
          <cell r="Q43">
            <v>188.68199999999999</v>
          </cell>
          <cell r="R43">
            <v>187.834</v>
          </cell>
          <cell r="S43">
            <v>187.63399999999999</v>
          </cell>
          <cell r="T43">
            <v>190.2</v>
          </cell>
          <cell r="U43">
            <v>188.58749999999998</v>
          </cell>
          <cell r="V43">
            <v>189.63200000000001</v>
          </cell>
          <cell r="W43">
            <v>189.77600000000001</v>
          </cell>
          <cell r="X43">
            <v>192.13200000000001</v>
          </cell>
          <cell r="Y43">
            <v>196.655</v>
          </cell>
          <cell r="Z43">
            <v>192.04875000000004</v>
          </cell>
          <cell r="AA43">
            <v>202.32499999999999</v>
          </cell>
          <cell r="AB43">
            <v>206.268</v>
          </cell>
          <cell r="AC43">
            <v>213.35300000000001</v>
          </cell>
          <cell r="AD43">
            <v>224.90799999999999</v>
          </cell>
          <cell r="AE43">
            <v>211.71350000000001</v>
          </cell>
          <cell r="AF43">
            <v>225.6</v>
          </cell>
          <cell r="AG43">
            <v>226.4</v>
          </cell>
          <cell r="AH43">
            <v>227.1</v>
          </cell>
          <cell r="AI43">
            <v>227.2</v>
          </cell>
          <cell r="AJ43">
            <v>226.57499999999999</v>
          </cell>
          <cell r="AK43">
            <v>227.2</v>
          </cell>
          <cell r="AL43">
            <v>227.3</v>
          </cell>
          <cell r="AM43">
            <v>227.4</v>
          </cell>
          <cell r="AN43">
            <v>225.9</v>
          </cell>
          <cell r="AO43">
            <v>227.1</v>
          </cell>
          <cell r="AP43">
            <v>226.5</v>
          </cell>
          <cell r="AQ43">
            <v>227.8</v>
          </cell>
          <cell r="AR43">
            <v>228.7</v>
          </cell>
          <cell r="AS43">
            <v>229.1</v>
          </cell>
          <cell r="AT43">
            <v>228.02500000000001</v>
          </cell>
          <cell r="AU43">
            <v>229.6</v>
          </cell>
          <cell r="AV43">
            <v>229.9</v>
          </cell>
          <cell r="AW43">
            <v>229.5</v>
          </cell>
          <cell r="AX43">
            <v>229.4</v>
          </cell>
          <cell r="AY43">
            <v>229.6</v>
          </cell>
          <cell r="AZ43">
            <v>233.8</v>
          </cell>
          <cell r="BA43">
            <v>234.05</v>
          </cell>
          <cell r="BB43">
            <v>234.3</v>
          </cell>
          <cell r="BC43">
            <v>234.55</v>
          </cell>
          <cell r="BD43">
            <v>234.17500000000001</v>
          </cell>
          <cell r="BE43">
            <v>234.8</v>
          </cell>
          <cell r="BF43">
            <v>235.05</v>
          </cell>
          <cell r="BG43">
            <v>235.3</v>
          </cell>
          <cell r="BH43">
            <v>235.55</v>
          </cell>
          <cell r="BI43">
            <v>235.17500000000001</v>
          </cell>
        </row>
        <row r="45">
          <cell r="A45" t="str">
            <v>EPS Before Extraordinary Items</v>
          </cell>
          <cell r="P45">
            <v>1.6200847594013197</v>
          </cell>
          <cell r="Q45">
            <v>0.26976606141550313</v>
          </cell>
          <cell r="R45">
            <v>0.44028237699245093</v>
          </cell>
          <cell r="S45">
            <v>0.55922167624204555</v>
          </cell>
          <cell r="T45">
            <v>0.41745531019978988</v>
          </cell>
          <cell r="U45">
            <v>1.6858434413733678</v>
          </cell>
          <cell r="V45">
            <v>0.24542587748903097</v>
          </cell>
          <cell r="W45">
            <v>0.47055475929516943</v>
          </cell>
          <cell r="X45">
            <v>0.49757458414006983</v>
          </cell>
          <cell r="Y45">
            <v>0.41544837405608759</v>
          </cell>
          <cell r="Z45">
            <v>1.6305266240993483</v>
          </cell>
          <cell r="AA45">
            <v>0.22340294081304823</v>
          </cell>
          <cell r="AB45">
            <v>0.42808385207593969</v>
          </cell>
          <cell r="AC45">
            <v>0.50821736746143775</v>
          </cell>
          <cell r="AD45">
            <v>0.42728582353673561</v>
          </cell>
          <cell r="AE45">
            <v>1.596637436913569</v>
          </cell>
          <cell r="AF45">
            <v>0.25044326241134773</v>
          </cell>
          <cell r="AG45">
            <v>0.35490282685512314</v>
          </cell>
          <cell r="AH45">
            <v>0.37533392698130003</v>
          </cell>
          <cell r="AI45">
            <v>0.31470070422535257</v>
          </cell>
          <cell r="AJ45">
            <v>1.291625289639194</v>
          </cell>
          <cell r="AK45">
            <v>0.27212971078001791</v>
          </cell>
          <cell r="AL45">
            <v>0.41047074351077883</v>
          </cell>
          <cell r="AM45">
            <v>0.4164467897977136</v>
          </cell>
          <cell r="AN45">
            <v>0.40194776449756531</v>
          </cell>
          <cell r="AO45">
            <v>1.5011008366358425</v>
          </cell>
          <cell r="AP45">
            <v>0.37704194260485657</v>
          </cell>
          <cell r="AQ45">
            <v>0.54872695346795475</v>
          </cell>
          <cell r="AR45">
            <v>0.46698731963270645</v>
          </cell>
          <cell r="AS45">
            <v>0.4002618943692709</v>
          </cell>
          <cell r="AT45">
            <v>1.7932244271461459</v>
          </cell>
          <cell r="AU45">
            <v>0.27063371080139348</v>
          </cell>
          <cell r="AV45">
            <v>0.40301217920835125</v>
          </cell>
          <cell r="AW45">
            <v>0.45490196078431344</v>
          </cell>
          <cell r="AX45">
            <v>0.41213731473408838</v>
          </cell>
          <cell r="AY45">
            <v>1.5406851655281464</v>
          </cell>
          <cell r="AZ45">
            <v>0.36990590248075311</v>
          </cell>
          <cell r="BA45">
            <v>0.52040162358470432</v>
          </cell>
          <cell r="BB45">
            <v>0.57089372599231714</v>
          </cell>
          <cell r="BC45">
            <v>0.4979631976124495</v>
          </cell>
          <cell r="BD45">
            <v>1.9591644496702241</v>
          </cell>
          <cell r="BE45">
            <v>0.47246165161839881</v>
          </cell>
          <cell r="BF45">
            <v>0.64141439762816399</v>
          </cell>
          <cell r="BG45">
            <v>0.67729977513440287</v>
          </cell>
          <cell r="BH45">
            <v>0.59402697345368805</v>
          </cell>
          <cell r="BI45">
            <v>2.3852027978346539</v>
          </cell>
        </row>
        <row r="46">
          <cell r="A46" t="str">
            <v>Dil. Avg. Shares Outstanding (Mil.)</v>
          </cell>
          <cell r="P46">
            <v>186.41</v>
          </cell>
          <cell r="Q46">
            <v>188.68199999999999</v>
          </cell>
          <cell r="R46">
            <v>187.834</v>
          </cell>
          <cell r="S46">
            <v>187.63399999999999</v>
          </cell>
          <cell r="T46">
            <v>190.2</v>
          </cell>
          <cell r="U46">
            <v>188.58749999999998</v>
          </cell>
          <cell r="V46">
            <v>189.63200000000001</v>
          </cell>
          <cell r="W46">
            <v>189.77600000000001</v>
          </cell>
          <cell r="X46">
            <v>192.13200000000001</v>
          </cell>
          <cell r="Y46">
            <v>196.655</v>
          </cell>
          <cell r="Z46">
            <v>192.04875000000004</v>
          </cell>
          <cell r="AA46">
            <v>202.32499999999999</v>
          </cell>
          <cell r="AB46">
            <v>206.268</v>
          </cell>
          <cell r="AC46">
            <v>213.35300000000001</v>
          </cell>
          <cell r="AD46">
            <v>224.90799999999999</v>
          </cell>
          <cell r="AE46">
            <v>211.71350000000001</v>
          </cell>
          <cell r="AF46">
            <v>225.6</v>
          </cell>
          <cell r="AG46">
            <v>226.4</v>
          </cell>
          <cell r="AH46">
            <v>227.1</v>
          </cell>
          <cell r="AI46">
            <v>227.2</v>
          </cell>
          <cell r="AJ46">
            <v>228.57499999999999</v>
          </cell>
          <cell r="AK46">
            <v>229.2</v>
          </cell>
          <cell r="AL46">
            <v>239.6</v>
          </cell>
          <cell r="AM46">
            <v>239.7</v>
          </cell>
          <cell r="AN46">
            <v>239.4</v>
          </cell>
          <cell r="AO46">
            <v>236.97499999999999</v>
          </cell>
          <cell r="AP46">
            <v>243.3</v>
          </cell>
          <cell r="AQ46">
            <v>245.8</v>
          </cell>
          <cell r="AR46">
            <v>246.79999999999998</v>
          </cell>
          <cell r="AS46">
            <v>245.5</v>
          </cell>
          <cell r="AT46">
            <v>245.35</v>
          </cell>
          <cell r="AU46">
            <v>232.6</v>
          </cell>
          <cell r="AV46">
            <v>233.9</v>
          </cell>
          <cell r="AW46">
            <v>242.2</v>
          </cell>
          <cell r="AX46">
            <v>243.8</v>
          </cell>
          <cell r="AY46">
            <v>238.125</v>
          </cell>
          <cell r="AZ46">
            <v>245.2</v>
          </cell>
          <cell r="BA46">
            <v>247.5</v>
          </cell>
          <cell r="BB46">
            <v>248.3</v>
          </cell>
          <cell r="BC46">
            <v>248.5</v>
          </cell>
          <cell r="BD46">
            <v>247.375</v>
          </cell>
          <cell r="BE46">
            <v>248.75</v>
          </cell>
          <cell r="BF46">
            <v>248.95</v>
          </cell>
          <cell r="BG46">
            <v>249.14999999999998</v>
          </cell>
          <cell r="BH46">
            <v>249.34999999999997</v>
          </cell>
          <cell r="BI46">
            <v>249.04999999999995</v>
          </cell>
        </row>
        <row r="47">
          <cell r="A47" t="str">
            <v>Fully Diluted EPS</v>
          </cell>
          <cell r="P47">
            <v>1.6844589882517034</v>
          </cell>
          <cell r="Q47">
            <v>0.38636435908035732</v>
          </cell>
          <cell r="R47">
            <v>0.44187953192712731</v>
          </cell>
          <cell r="S47">
            <v>0.53188654508244759</v>
          </cell>
          <cell r="T47">
            <v>0.48215562565720316</v>
          </cell>
          <cell r="U47">
            <v>1.8421475442433883</v>
          </cell>
          <cell r="V47">
            <v>0.25997721903476162</v>
          </cell>
          <cell r="W47">
            <v>0.47055475929516943</v>
          </cell>
          <cell r="X47">
            <v>-0.21755876168467569</v>
          </cell>
          <cell r="Y47">
            <v>0.41544837405608759</v>
          </cell>
          <cell r="Z47">
            <v>0.92945150645343821</v>
          </cell>
          <cell r="AA47">
            <v>0.22340294081304823</v>
          </cell>
          <cell r="AB47">
            <v>0.42808385207593969</v>
          </cell>
          <cell r="AC47">
            <v>0.50821736746143775</v>
          </cell>
          <cell r="AD47">
            <v>0.42728582353673561</v>
          </cell>
          <cell r="AE47">
            <v>1.596637436913569</v>
          </cell>
          <cell r="AF47">
            <v>0.25044326241134773</v>
          </cell>
          <cell r="AG47">
            <v>0.35490282685512314</v>
          </cell>
          <cell r="AH47">
            <v>0.37120211360634076</v>
          </cell>
          <cell r="AI47">
            <v>0.31470070422535257</v>
          </cell>
          <cell r="AJ47">
            <v>1.280323744941487</v>
          </cell>
          <cell r="AK47">
            <v>0.27094240837696376</v>
          </cell>
          <cell r="AL47">
            <v>0.40400667779632737</v>
          </cell>
          <cell r="AM47">
            <v>0.40926157697121435</v>
          </cell>
          <cell r="AN47">
            <v>0.39348370927318305</v>
          </cell>
          <cell r="AO47">
            <v>1.4776943724176888</v>
          </cell>
          <cell r="AP47">
            <v>0.36498150431565979</v>
          </cell>
          <cell r="AQ47">
            <v>0.52278275020341769</v>
          </cell>
          <cell r="AR47">
            <v>0.44651539708265792</v>
          </cell>
          <cell r="AS47">
            <v>0.38737270875763735</v>
          </cell>
          <cell r="AT47">
            <v>1.7224373344202157</v>
          </cell>
          <cell r="AU47">
            <v>0.27063371080139348</v>
          </cell>
          <cell r="AV47">
            <v>0.39441073510120095</v>
          </cell>
          <cell r="AW47">
            <v>0.44508670520231192</v>
          </cell>
          <cell r="AX47">
            <v>0.40174036095159921</v>
          </cell>
          <cell r="AY47">
            <v>1.5118715120565056</v>
          </cell>
          <cell r="AZ47">
            <v>0.36208809135399705</v>
          </cell>
          <cell r="BA47">
            <v>0.49212121212121229</v>
          </cell>
          <cell r="BB47">
            <v>0.53870479258960902</v>
          </cell>
          <cell r="BC47">
            <v>0.4700091267605635</v>
          </cell>
          <cell r="BD47">
            <v>1.8641401435068206</v>
          </cell>
          <cell r="BE47">
            <v>0.44596581226130672</v>
          </cell>
          <cell r="BF47">
            <v>0.60560134228760787</v>
          </cell>
          <cell r="BG47">
            <v>0.63964935616746943</v>
          </cell>
          <cell r="BH47">
            <v>0.56115120752763692</v>
          </cell>
          <cell r="BI47">
            <v>2.2525201391232321</v>
          </cell>
        </row>
        <row r="48">
          <cell r="A48" t="str">
            <v>Extraordinary Items Per Share</v>
          </cell>
          <cell r="P48">
            <v>6.4374228850383561E-2</v>
          </cell>
          <cell r="Q48">
            <v>0.11659829766485412</v>
          </cell>
          <cell r="R48">
            <v>1.5971549346763632E-3</v>
          </cell>
          <cell r="S48">
            <v>-2.7335131159597941E-2</v>
          </cell>
          <cell r="T48">
            <v>6.4700315457413254E-2</v>
          </cell>
          <cell r="U48">
            <v>0.15630410287002058</v>
          </cell>
          <cell r="V48">
            <v>1.455134154573068E-2</v>
          </cell>
          <cell r="W48">
            <v>0</v>
          </cell>
          <cell r="X48">
            <v>-0.71513334582474553</v>
          </cell>
          <cell r="Y48">
            <v>0</v>
          </cell>
          <cell r="Z48">
            <v>-0.70107511764591013</v>
          </cell>
          <cell r="AA48">
            <v>0</v>
          </cell>
          <cell r="AB48">
            <v>0</v>
          </cell>
          <cell r="AC48">
            <v>-0.25112044358410712</v>
          </cell>
          <cell r="AD48">
            <v>-0.36</v>
          </cell>
          <cell r="AE48">
            <v>-0.61112044358410711</v>
          </cell>
          <cell r="AF48">
            <v>0</v>
          </cell>
          <cell r="AG48">
            <v>-7.1113074204947002E-2</v>
          </cell>
          <cell r="AH48">
            <v>0</v>
          </cell>
          <cell r="AI48">
            <v>0</v>
          </cell>
          <cell r="AJ48">
            <v>-7.1113074204947002E-2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-0.17731081658828562</v>
          </cell>
          <cell r="AW48">
            <v>0</v>
          </cell>
          <cell r="AX48">
            <v>3.9770303527481538E-2</v>
          </cell>
          <cell r="AY48">
            <v>0</v>
          </cell>
          <cell r="AZ48">
            <v>0</v>
          </cell>
          <cell r="BA48">
            <v>0</v>
          </cell>
          <cell r="BB48">
            <v>-2.0136931131695527E-3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</row>
        <row r="49">
          <cell r="A49" t="str">
            <v>Dow Corning</v>
          </cell>
          <cell r="AA49">
            <v>0.06</v>
          </cell>
          <cell r="AB49">
            <v>0.11</v>
          </cell>
          <cell r="AC49">
            <v>0.11</v>
          </cell>
          <cell r="AD49">
            <v>0.06</v>
          </cell>
          <cell r="AE49">
            <v>0.33999999999999997</v>
          </cell>
          <cell r="AF49">
            <v>7.7570921985815611E-2</v>
          </cell>
          <cell r="AG49">
            <v>-1.614399293286219</v>
          </cell>
          <cell r="AH49">
            <v>0</v>
          </cell>
          <cell r="AI49">
            <v>0</v>
          </cell>
          <cell r="AJ49">
            <v>-1.5368283713004034</v>
          </cell>
        </row>
        <row r="50">
          <cell r="A50" t="str">
            <v>Discontinued Operations</v>
          </cell>
          <cell r="AF50">
            <v>0.1170212765957447</v>
          </cell>
          <cell r="AG50">
            <v>1.5019379844961241E-2</v>
          </cell>
          <cell r="AH50">
            <v>-9.5046854082998664E-2</v>
          </cell>
          <cell r="AI50">
            <v>5.501760563380282E-2</v>
          </cell>
          <cell r="AJ50">
            <v>9.2011407991510114E-2</v>
          </cell>
          <cell r="AK50">
            <v>4.0492957746478882E-2</v>
          </cell>
          <cell r="AL50">
            <v>7.4999999999999997E-2</v>
          </cell>
          <cell r="AM50">
            <v>-0.50571679859278806</v>
          </cell>
          <cell r="AN50">
            <v>7.0000000000000007E-2</v>
          </cell>
          <cell r="AO50">
            <v>-0.32022384084630917</v>
          </cell>
          <cell r="AP50">
            <v>2.7127003699136867E-2</v>
          </cell>
          <cell r="AQ50">
            <v>8.7796312554872698E-3</v>
          </cell>
          <cell r="AR50">
            <v>2.228525121555916E-2</v>
          </cell>
          <cell r="AS50">
            <v>6.843177189409369E-2</v>
          </cell>
          <cell r="AT50">
            <v>0.126623658064277</v>
          </cell>
          <cell r="AU50">
            <v>-0.01</v>
          </cell>
          <cell r="AV50">
            <v>0.3</v>
          </cell>
          <cell r="AW50">
            <v>0</v>
          </cell>
          <cell r="AY50">
            <v>0.28999999999999998</v>
          </cell>
          <cell r="BA50">
            <v>1.2091439125957761</v>
          </cell>
        </row>
        <row r="51">
          <cell r="A51" t="str">
            <v>Reported Earnings Per Share</v>
          </cell>
          <cell r="P51">
            <v>1.6844589882517034</v>
          </cell>
          <cell r="Q51">
            <v>0.38636435908035732</v>
          </cell>
          <cell r="R51">
            <v>0.44187953192712731</v>
          </cell>
          <cell r="S51">
            <v>0.53188654508244759</v>
          </cell>
          <cell r="T51">
            <v>0.48215562565720316</v>
          </cell>
          <cell r="U51">
            <v>1.8421475442433883</v>
          </cell>
          <cell r="V51">
            <v>0.25997721903476162</v>
          </cell>
          <cell r="W51">
            <v>0.47055475929516943</v>
          </cell>
          <cell r="X51">
            <v>-0.21755876168467569</v>
          </cell>
          <cell r="Y51">
            <v>0.41544837405608759</v>
          </cell>
          <cell r="Z51">
            <v>0.92945150645343821</v>
          </cell>
          <cell r="AA51">
            <v>0.28340294081304823</v>
          </cell>
          <cell r="AB51">
            <v>0.53808385207593967</v>
          </cell>
          <cell r="AC51">
            <v>0.36709692387733062</v>
          </cell>
          <cell r="AD51">
            <v>0.12728582353673562</v>
          </cell>
          <cell r="AE51">
            <v>1.3255169933294617</v>
          </cell>
          <cell r="AF51">
            <v>0.44503546099290803</v>
          </cell>
          <cell r="AG51">
            <v>-1.3155901607910818</v>
          </cell>
          <cell r="AH51">
            <v>0.28028707289830135</v>
          </cell>
          <cell r="AI51">
            <v>0.36971830985915538</v>
          </cell>
          <cell r="AJ51">
            <v>-0.22430474787464635</v>
          </cell>
          <cell r="AK51">
            <v>0.31262266852649678</v>
          </cell>
          <cell r="AL51">
            <v>0.48547074351077885</v>
          </cell>
          <cell r="AM51">
            <v>-8.9270008795074463E-2</v>
          </cell>
          <cell r="AN51">
            <v>0.47194776449756531</v>
          </cell>
          <cell r="AO51">
            <v>1.1808769957895333</v>
          </cell>
          <cell r="AP51">
            <v>0.39210850801479663</v>
          </cell>
          <cell r="AQ51">
            <v>0.531562381458905</v>
          </cell>
          <cell r="AR51">
            <v>0.4688006482982171</v>
          </cell>
          <cell r="AS51">
            <v>0.45580448065173107</v>
          </cell>
          <cell r="AT51">
            <v>1.8490609924844927</v>
          </cell>
          <cell r="AU51">
            <v>0.26063371080139347</v>
          </cell>
          <cell r="AV51">
            <v>0.51709991851291526</v>
          </cell>
          <cell r="AW51">
            <v>0.44508670520231192</v>
          </cell>
          <cell r="AX51">
            <v>0.44151066447908072</v>
          </cell>
          <cell r="AY51">
            <v>1.8018715120565056</v>
          </cell>
          <cell r="AZ51">
            <v>0.36208809135399705</v>
          </cell>
          <cell r="BA51">
            <v>1.7012651247169885</v>
          </cell>
          <cell r="BB51">
            <v>0.53669109947643945</v>
          </cell>
          <cell r="BC51">
            <v>0.4700091267605635</v>
          </cell>
          <cell r="BD51">
            <v>1.8641401435068206</v>
          </cell>
          <cell r="BE51">
            <v>0.44596581226130672</v>
          </cell>
          <cell r="BF51">
            <v>0.60560134228760787</v>
          </cell>
          <cell r="BG51">
            <v>0.63964935616746943</v>
          </cell>
          <cell r="BH51">
            <v>0.56115120752763692</v>
          </cell>
          <cell r="BI51">
            <v>2.2525201391232321</v>
          </cell>
        </row>
        <row r="53">
          <cell r="A53" t="str">
            <v>Dividends Per Share</v>
          </cell>
          <cell r="P53">
            <v>0.5</v>
          </cell>
          <cell r="Q53">
            <v>0.15</v>
          </cell>
          <cell r="R53">
            <v>0.15</v>
          </cell>
          <cell r="S53">
            <v>0.15</v>
          </cell>
          <cell r="T53">
            <v>0.15</v>
          </cell>
          <cell r="U53">
            <v>0.6</v>
          </cell>
          <cell r="V53">
            <v>0.1668</v>
          </cell>
          <cell r="W53">
            <v>0.1668</v>
          </cell>
          <cell r="X53">
            <v>0.1668</v>
          </cell>
          <cell r="Y53">
            <v>0.1668</v>
          </cell>
          <cell r="Z53">
            <v>0.66720000000000002</v>
          </cell>
          <cell r="AA53">
            <v>0.1668</v>
          </cell>
          <cell r="AB53">
            <v>0.17</v>
          </cell>
          <cell r="AC53">
            <v>0.17</v>
          </cell>
          <cell r="AD53">
            <v>0.18</v>
          </cell>
          <cell r="AE53">
            <v>0.68680000000000008</v>
          </cell>
          <cell r="AF53">
            <v>0.18</v>
          </cell>
          <cell r="AG53">
            <v>0.18</v>
          </cell>
          <cell r="AH53">
            <v>0.18</v>
          </cell>
          <cell r="AI53">
            <v>0.18</v>
          </cell>
          <cell r="AJ53">
            <v>0.72</v>
          </cell>
          <cell r="AK53">
            <v>0.18</v>
          </cell>
          <cell r="AL53">
            <v>0.18</v>
          </cell>
          <cell r="AM53">
            <v>0.18</v>
          </cell>
          <cell r="AN53">
            <v>0.18</v>
          </cell>
          <cell r="AO53">
            <v>0.72</v>
          </cell>
          <cell r="AP53">
            <v>0.18</v>
          </cell>
          <cell r="AQ53">
            <v>0.18</v>
          </cell>
          <cell r="AR53">
            <v>0.18</v>
          </cell>
          <cell r="AS53">
            <v>0.18</v>
          </cell>
          <cell r="AT53">
            <v>0.72</v>
          </cell>
          <cell r="AU53">
            <v>0.18</v>
          </cell>
          <cell r="AV53">
            <v>0.18</v>
          </cell>
          <cell r="AW53">
            <v>0.18</v>
          </cell>
          <cell r="AX53">
            <v>0.18</v>
          </cell>
          <cell r="AY53">
            <v>0.72</v>
          </cell>
          <cell r="AZ53">
            <v>0.18</v>
          </cell>
          <cell r="BA53">
            <v>0.18</v>
          </cell>
          <cell r="BB53">
            <v>0.18</v>
          </cell>
          <cell r="BC53">
            <v>0.18</v>
          </cell>
          <cell r="BD53">
            <v>0.72</v>
          </cell>
          <cell r="BE53">
            <v>0.18</v>
          </cell>
          <cell r="BF53">
            <v>0.18</v>
          </cell>
          <cell r="BG53">
            <v>0.18</v>
          </cell>
          <cell r="BH53">
            <v>0.18</v>
          </cell>
          <cell r="BI53">
            <v>0.72</v>
          </cell>
        </row>
        <row r="55">
          <cell r="A55" t="str">
            <v>Source:  Corning financial statements and Salomon Smith Barney estimates.</v>
          </cell>
        </row>
        <row r="56">
          <cell r="A56" t="str">
            <v>Table 6B.  Corning Inc.— Quarterly Income Statement—Operating Metrics</v>
          </cell>
        </row>
        <row r="57">
          <cell r="AJ57" t="str">
            <v xml:space="preserve"> </v>
          </cell>
        </row>
        <row r="58">
          <cell r="P58" t="str">
            <v xml:space="preserve">   Year</v>
          </cell>
          <cell r="R58" t="str">
            <v>1992</v>
          </cell>
          <cell r="U58" t="str">
            <v xml:space="preserve">   Year</v>
          </cell>
          <cell r="W58" t="str">
            <v xml:space="preserve">1993 </v>
          </cell>
          <cell r="Z58" t="str">
            <v xml:space="preserve">   Year</v>
          </cell>
          <cell r="AB58" t="str">
            <v>1994</v>
          </cell>
          <cell r="AE58" t="str">
            <v xml:space="preserve">   Year</v>
          </cell>
          <cell r="AG58" t="str">
            <v xml:space="preserve"> 1995</v>
          </cell>
          <cell r="AJ58" t="str">
            <v xml:space="preserve">   Year</v>
          </cell>
          <cell r="AL58" t="str">
            <v xml:space="preserve"> 1996</v>
          </cell>
          <cell r="AO58" t="str">
            <v xml:space="preserve">   Year</v>
          </cell>
          <cell r="AQ58" t="str">
            <v>1997</v>
          </cell>
          <cell r="AT58" t="str">
            <v xml:space="preserve">   Year</v>
          </cell>
          <cell r="AV58">
            <v>1998</v>
          </cell>
          <cell r="AY58" t="str">
            <v xml:space="preserve">   Year</v>
          </cell>
          <cell r="BA58" t="str">
            <v>Estimated 1999</v>
          </cell>
          <cell r="BD58" t="str">
            <v xml:space="preserve">   Year</v>
          </cell>
          <cell r="BF58" t="str">
            <v>Estimated 2000</v>
          </cell>
          <cell r="BI58" t="str">
            <v xml:space="preserve">   Year</v>
          </cell>
        </row>
        <row r="59">
          <cell r="P59" t="str">
            <v xml:space="preserve">   1991</v>
          </cell>
          <cell r="Q59" t="str">
            <v>1Q</v>
          </cell>
          <cell r="R59" t="str">
            <v>2Q</v>
          </cell>
          <cell r="S59" t="str">
            <v>3Q</v>
          </cell>
          <cell r="T59" t="str">
            <v>4Q</v>
          </cell>
          <cell r="U59" t="str">
            <v xml:space="preserve">   1992</v>
          </cell>
          <cell r="V59" t="str">
            <v>1Q</v>
          </cell>
          <cell r="W59" t="str">
            <v>2Q</v>
          </cell>
          <cell r="X59" t="str">
            <v>3Q</v>
          </cell>
          <cell r="Y59" t="str">
            <v>4Q</v>
          </cell>
          <cell r="Z59" t="str">
            <v xml:space="preserve">   1993</v>
          </cell>
          <cell r="AA59" t="str">
            <v>1Q</v>
          </cell>
          <cell r="AB59" t="str">
            <v>2Q</v>
          </cell>
          <cell r="AC59" t="str">
            <v>3Q</v>
          </cell>
          <cell r="AD59" t="str">
            <v>4Q</v>
          </cell>
          <cell r="AE59" t="str">
            <v xml:space="preserve">   1994</v>
          </cell>
          <cell r="AF59" t="str">
            <v>1Q</v>
          </cell>
          <cell r="AG59" t="str">
            <v>2Q</v>
          </cell>
          <cell r="AH59" t="str">
            <v>3Q</v>
          </cell>
          <cell r="AI59" t="str">
            <v>4Q</v>
          </cell>
          <cell r="AJ59" t="str">
            <v xml:space="preserve">   1995</v>
          </cell>
          <cell r="AK59" t="str">
            <v>1Q</v>
          </cell>
          <cell r="AL59" t="str">
            <v>2Q</v>
          </cell>
          <cell r="AM59" t="str">
            <v>3Q</v>
          </cell>
          <cell r="AN59" t="str">
            <v>4Q</v>
          </cell>
          <cell r="AO59" t="str">
            <v xml:space="preserve">   1996</v>
          </cell>
          <cell r="AP59" t="str">
            <v>1Q</v>
          </cell>
          <cell r="AQ59" t="str">
            <v>2Q</v>
          </cell>
          <cell r="AR59" t="str">
            <v>3Q</v>
          </cell>
          <cell r="AS59" t="str">
            <v>4Q</v>
          </cell>
          <cell r="AT59" t="str">
            <v xml:space="preserve">   1997</v>
          </cell>
          <cell r="AU59" t="str">
            <v>1Q</v>
          </cell>
          <cell r="AV59" t="str">
            <v>2Q</v>
          </cell>
          <cell r="AW59" t="str">
            <v>3Q</v>
          </cell>
          <cell r="AX59" t="str">
            <v>4Q</v>
          </cell>
          <cell r="AY59">
            <v>1998</v>
          </cell>
          <cell r="AZ59" t="str">
            <v>1QA</v>
          </cell>
          <cell r="BA59" t="str">
            <v>2QA</v>
          </cell>
          <cell r="BB59" t="str">
            <v>3QA</v>
          </cell>
          <cell r="BC59" t="str">
            <v>4Q</v>
          </cell>
          <cell r="BD59" t="str">
            <v xml:space="preserve">   1999E</v>
          </cell>
          <cell r="BE59" t="str">
            <v>1Q</v>
          </cell>
          <cell r="BF59" t="str">
            <v>2Q</v>
          </cell>
          <cell r="BG59" t="str">
            <v>3Q</v>
          </cell>
          <cell r="BH59" t="str">
            <v>4Q</v>
          </cell>
          <cell r="BI59" t="str">
            <v>2000E</v>
          </cell>
        </row>
        <row r="61">
          <cell r="A61" t="str">
            <v>End Of Quarter Employees</v>
          </cell>
          <cell r="P61" t="str">
            <v>NM</v>
          </cell>
          <cell r="Q61" t="str">
            <v>NM</v>
          </cell>
          <cell r="R61" t="str">
            <v>NM</v>
          </cell>
          <cell r="S61" t="str">
            <v>NM</v>
          </cell>
          <cell r="T61" t="str">
            <v>NM</v>
          </cell>
          <cell r="U61">
            <v>17800</v>
          </cell>
          <cell r="V61">
            <v>18800</v>
          </cell>
          <cell r="W61">
            <v>19800</v>
          </cell>
          <cell r="X61">
            <v>20800</v>
          </cell>
          <cell r="Y61">
            <v>21800</v>
          </cell>
          <cell r="Z61">
            <v>21800</v>
          </cell>
          <cell r="AA61">
            <v>21950</v>
          </cell>
          <cell r="AB61">
            <v>22100</v>
          </cell>
          <cell r="AC61">
            <v>22250</v>
          </cell>
          <cell r="AD61">
            <v>22400</v>
          </cell>
          <cell r="AE61">
            <v>22400</v>
          </cell>
          <cell r="AF61">
            <v>21350</v>
          </cell>
          <cell r="AG61">
            <v>20300</v>
          </cell>
          <cell r="AH61">
            <v>19250</v>
          </cell>
          <cell r="AI61">
            <v>18200</v>
          </cell>
          <cell r="AJ61">
            <v>18200</v>
          </cell>
          <cell r="AK61">
            <v>18650</v>
          </cell>
          <cell r="AL61">
            <v>19100</v>
          </cell>
          <cell r="AM61">
            <v>19550</v>
          </cell>
          <cell r="AN61">
            <v>20000</v>
          </cell>
          <cell r="AO61">
            <v>20000</v>
          </cell>
          <cell r="AP61" t="str">
            <v>NA</v>
          </cell>
          <cell r="AQ61" t="str">
            <v>NA</v>
          </cell>
          <cell r="AR61" t="str">
            <v>NA</v>
          </cell>
          <cell r="AS61" t="str">
            <v>NA</v>
          </cell>
          <cell r="AT61">
            <v>20500</v>
          </cell>
          <cell r="AU61" t="str">
            <v>NA</v>
          </cell>
          <cell r="AV61" t="str">
            <v>NA</v>
          </cell>
          <cell r="AW61" t="str">
            <v>NA</v>
          </cell>
          <cell r="AX61" t="str">
            <v>NA</v>
          </cell>
          <cell r="AY61">
            <v>15400</v>
          </cell>
          <cell r="AZ61" t="str">
            <v>NA</v>
          </cell>
          <cell r="BA61" t="str">
            <v>NA</v>
          </cell>
          <cell r="BB61" t="str">
            <v>NA</v>
          </cell>
          <cell r="BC61">
            <v>15400</v>
          </cell>
          <cell r="BD61">
            <v>15400</v>
          </cell>
          <cell r="BE61">
            <v>15400</v>
          </cell>
          <cell r="BF61">
            <v>15400</v>
          </cell>
          <cell r="BG61">
            <v>15400</v>
          </cell>
          <cell r="BH61">
            <v>15400</v>
          </cell>
          <cell r="BI61">
            <v>15400</v>
          </cell>
        </row>
        <row r="62">
          <cell r="A62" t="str">
            <v>LTM Sales/Current  Employees</v>
          </cell>
          <cell r="P62" t="str">
            <v>NM</v>
          </cell>
          <cell r="Q62" t="str">
            <v>NM</v>
          </cell>
          <cell r="R62" t="str">
            <v>NM</v>
          </cell>
          <cell r="S62" t="str">
            <v>NM</v>
          </cell>
          <cell r="T62" t="str">
            <v>NM</v>
          </cell>
          <cell r="U62" t="str">
            <v>NM</v>
          </cell>
          <cell r="V62">
            <v>201271.27659574465</v>
          </cell>
          <cell r="W62">
            <v>192888.88888888888</v>
          </cell>
          <cell r="X62">
            <v>188365.38461538462</v>
          </cell>
          <cell r="Y62">
            <v>183706.42201834862</v>
          </cell>
          <cell r="Z62">
            <v>183706.42201834862</v>
          </cell>
          <cell r="AA62">
            <v>188460.13667425967</v>
          </cell>
          <cell r="AB62">
            <v>196180.99547511313</v>
          </cell>
          <cell r="AC62">
            <v>205842.69662921349</v>
          </cell>
          <cell r="AD62">
            <v>212968.75</v>
          </cell>
          <cell r="AE62">
            <v>212968.75</v>
          </cell>
          <cell r="AF62">
            <v>214946.13583138175</v>
          </cell>
          <cell r="AG62">
            <v>211068.96551724139</v>
          </cell>
          <cell r="AH62">
            <v>191002.5974025974</v>
          </cell>
          <cell r="AI62">
            <v>178961.5384615385</v>
          </cell>
          <cell r="AJ62">
            <v>178961.5384615385</v>
          </cell>
          <cell r="AK62">
            <v>178402.14477211796</v>
          </cell>
          <cell r="AL62">
            <v>180083.76963350788</v>
          </cell>
          <cell r="AM62">
            <v>179810.74168797955</v>
          </cell>
          <cell r="AN62">
            <v>182580</v>
          </cell>
          <cell r="AO62">
            <v>182580</v>
          </cell>
          <cell r="AP62" t="str">
            <v>NA</v>
          </cell>
          <cell r="AQ62" t="str">
            <v>NA</v>
          </cell>
          <cell r="AR62" t="str">
            <v>NA</v>
          </cell>
          <cell r="AS62" t="str">
            <v>NA</v>
          </cell>
          <cell r="AT62">
            <v>171551.21951219512</v>
          </cell>
          <cell r="AU62" t="str">
            <v>NA</v>
          </cell>
          <cell r="AV62" t="str">
            <v>NA</v>
          </cell>
          <cell r="AW62" t="str">
            <v>NA</v>
          </cell>
          <cell r="AX62" t="str">
            <v>NA</v>
          </cell>
          <cell r="AY62">
            <v>226233.76623376625</v>
          </cell>
          <cell r="AZ62" t="str">
            <v>NA</v>
          </cell>
          <cell r="BA62" t="str">
            <v>NA</v>
          </cell>
          <cell r="BB62" t="str">
            <v>NA</v>
          </cell>
          <cell r="BC62">
            <v>272767.5324675325</v>
          </cell>
          <cell r="BD62">
            <v>272767.5324675325</v>
          </cell>
          <cell r="BE62">
            <v>287632.72727272729</v>
          </cell>
          <cell r="BF62">
            <v>303246.36363636365</v>
          </cell>
          <cell r="BG62">
            <v>311364.93506493507</v>
          </cell>
          <cell r="BH62">
            <v>318844.28571428568</v>
          </cell>
          <cell r="BI62">
            <v>318844.28571428568</v>
          </cell>
        </row>
        <row r="63">
          <cell r="A63" t="str">
            <v>Y-O-Y  Chg. LTM Sales/Employee</v>
          </cell>
          <cell r="P63" t="str">
            <v>NM</v>
          </cell>
          <cell r="Q63" t="str">
            <v>NM</v>
          </cell>
          <cell r="R63" t="str">
            <v>NM</v>
          </cell>
          <cell r="S63" t="str">
            <v>NM</v>
          </cell>
          <cell r="T63" t="str">
            <v>NM</v>
          </cell>
          <cell r="U63" t="str">
            <v>NM</v>
          </cell>
          <cell r="V63" t="str">
            <v>NM</v>
          </cell>
          <cell r="W63" t="str">
            <v>NM</v>
          </cell>
          <cell r="X63" t="str">
            <v>NM</v>
          </cell>
          <cell r="Y63" t="str">
            <v>NM</v>
          </cell>
          <cell r="Z63" t="str">
            <v>NM</v>
          </cell>
          <cell r="AA63">
            <v>-6.3651108782979859E-2</v>
          </cell>
          <cell r="AB63">
            <v>1.7067372854849161E-2</v>
          </cell>
          <cell r="AC63">
            <v>9.2784096449116893E-2</v>
          </cell>
          <cell r="AD63">
            <v>0.1592885412504994</v>
          </cell>
          <cell r="AE63">
            <v>0.1592885412504994</v>
          </cell>
          <cell r="AF63">
            <v>0.14053900004806485</v>
          </cell>
          <cell r="AG63">
            <v>7.5888951455631126E-2</v>
          </cell>
          <cell r="AH63">
            <v>-7.209436851358253E-2</v>
          </cell>
          <cell r="AI63">
            <v>-0.15968169761273188</v>
          </cell>
          <cell r="AJ63">
            <v>-0.15968169761273188</v>
          </cell>
          <cell r="AK63">
            <v>-0.17001464538041922</v>
          </cell>
          <cell r="AL63">
            <v>-0.14680128747398657</v>
          </cell>
          <cell r="AM63">
            <v>-5.859530638228716E-2</v>
          </cell>
          <cell r="AN63">
            <v>2.0219213410702652E-2</v>
          </cell>
          <cell r="AO63">
            <v>2.0219213410702652E-2</v>
          </cell>
          <cell r="AP63" t="str">
            <v>NA</v>
          </cell>
          <cell r="AQ63" t="str">
            <v>NA</v>
          </cell>
          <cell r="AR63" t="str">
            <v>NA</v>
          </cell>
          <cell r="AS63" t="str">
            <v>NA</v>
          </cell>
          <cell r="AT63">
            <v>-6.0405194916227867E-2</v>
          </cell>
          <cell r="AU63" t="str">
            <v>NA</v>
          </cell>
          <cell r="AV63" t="str">
            <v>NA</v>
          </cell>
          <cell r="AW63" t="str">
            <v>NA</v>
          </cell>
          <cell r="AX63" t="str">
            <v>NA</v>
          </cell>
          <cell r="AY63">
            <v>0.31875347127849407</v>
          </cell>
          <cell r="AZ63" t="str">
            <v>NA</v>
          </cell>
          <cell r="BA63" t="str">
            <v>NA</v>
          </cell>
          <cell r="BB63" t="str">
            <v>NA</v>
          </cell>
          <cell r="BC63" t="e">
            <v>#VALUE!</v>
          </cell>
          <cell r="BD63" t="e">
            <v>#VALUE!</v>
          </cell>
          <cell r="BE63" t="e">
            <v>#VALUE!</v>
          </cell>
          <cell r="BF63" t="e">
            <v>#VALUE!</v>
          </cell>
          <cell r="BG63" t="e">
            <v>#VALUE!</v>
          </cell>
          <cell r="BH63">
            <v>0.16892315896224819</v>
          </cell>
          <cell r="BI63">
            <v>0.16892315896224819</v>
          </cell>
        </row>
        <row r="64">
          <cell r="A64" t="str">
            <v>% Management Ownership</v>
          </cell>
          <cell r="P64" t="str">
            <v>NM</v>
          </cell>
          <cell r="Q64" t="str">
            <v>NM</v>
          </cell>
          <cell r="R64" t="str">
            <v>NM</v>
          </cell>
          <cell r="S64" t="str">
            <v>NM</v>
          </cell>
          <cell r="T64" t="str">
            <v>NM</v>
          </cell>
          <cell r="U64" t="str">
            <v>NM</v>
          </cell>
          <cell r="V64" t="str">
            <v>NM</v>
          </cell>
          <cell r="W64" t="str">
            <v>NM</v>
          </cell>
          <cell r="X64" t="str">
            <v>NM</v>
          </cell>
          <cell r="Y64" t="str">
            <v>NM</v>
          </cell>
          <cell r="Z64">
            <v>2.18E-2</v>
          </cell>
          <cell r="AA64" t="str">
            <v>NM</v>
          </cell>
          <cell r="AB64" t="str">
            <v>NM</v>
          </cell>
          <cell r="AC64" t="str">
            <v>NM</v>
          </cell>
          <cell r="AD64" t="str">
            <v>NM</v>
          </cell>
          <cell r="AE64">
            <v>2.6100000000000002E-2</v>
          </cell>
          <cell r="AF64" t="str">
            <v>NM</v>
          </cell>
          <cell r="AG64" t="str">
            <v>NM</v>
          </cell>
          <cell r="AH64" t="str">
            <v>NM</v>
          </cell>
          <cell r="AI64" t="str">
            <v>NM</v>
          </cell>
          <cell r="AJ64">
            <v>2.1999999999999999E-2</v>
          </cell>
          <cell r="AK64" t="str">
            <v>NM</v>
          </cell>
          <cell r="AL64" t="str">
            <v>NM</v>
          </cell>
          <cell r="AM64" t="str">
            <v>NM</v>
          </cell>
          <cell r="AN64" t="str">
            <v>NM</v>
          </cell>
          <cell r="AO64">
            <v>1.8499999999999999E-2</v>
          </cell>
          <cell r="AP64" t="str">
            <v>NA</v>
          </cell>
          <cell r="AQ64" t="str">
            <v>NA</v>
          </cell>
          <cell r="AR64" t="str">
            <v>NA</v>
          </cell>
          <cell r="AS64" t="str">
            <v>NA</v>
          </cell>
          <cell r="AT64">
            <v>2.3E-2</v>
          </cell>
          <cell r="AU64" t="str">
            <v>NA</v>
          </cell>
          <cell r="AV64" t="str">
            <v>NA</v>
          </cell>
          <cell r="AW64" t="str">
            <v>NA</v>
          </cell>
          <cell r="AX64" t="str">
            <v>NA</v>
          </cell>
          <cell r="AY64">
            <v>2.1600000000000001E-2</v>
          </cell>
          <cell r="AZ64" t="str">
            <v>NA</v>
          </cell>
          <cell r="BA64" t="str">
            <v>NA</v>
          </cell>
          <cell r="BB64" t="str">
            <v>NA</v>
          </cell>
          <cell r="BC64" t="str">
            <v>NM</v>
          </cell>
          <cell r="BE64" t="str">
            <v>NM</v>
          </cell>
          <cell r="BF64" t="str">
            <v>NM</v>
          </cell>
          <cell r="BG64" t="str">
            <v>NM</v>
          </cell>
          <cell r="BH64" t="str">
            <v>NM</v>
          </cell>
        </row>
        <row r="65">
          <cell r="A65" t="str">
            <v>Backlog</v>
          </cell>
          <cell r="P65" t="str">
            <v>NM</v>
          </cell>
          <cell r="Q65" t="str">
            <v>NM</v>
          </cell>
          <cell r="R65" t="str">
            <v>NM</v>
          </cell>
          <cell r="S65" t="str">
            <v>NM</v>
          </cell>
          <cell r="T65" t="str">
            <v>NM</v>
          </cell>
          <cell r="U65" t="str">
            <v>NM</v>
          </cell>
          <cell r="V65" t="str">
            <v>NM</v>
          </cell>
          <cell r="W65" t="str">
            <v>NM</v>
          </cell>
          <cell r="X65" t="str">
            <v>NM</v>
          </cell>
          <cell r="Y65" t="str">
            <v>NM</v>
          </cell>
          <cell r="Z65" t="str">
            <v>NM</v>
          </cell>
          <cell r="AA65" t="str">
            <v>NM</v>
          </cell>
          <cell r="AB65" t="str">
            <v>NM</v>
          </cell>
          <cell r="AC65" t="str">
            <v>NM</v>
          </cell>
          <cell r="AD65" t="str">
            <v>NM</v>
          </cell>
          <cell r="AE65" t="str">
            <v>NM</v>
          </cell>
          <cell r="AF65" t="str">
            <v>NM</v>
          </cell>
          <cell r="AG65" t="str">
            <v>NM</v>
          </cell>
          <cell r="AH65" t="str">
            <v>NM</v>
          </cell>
          <cell r="AI65" t="str">
            <v>NM</v>
          </cell>
          <cell r="AJ65" t="str">
            <v>NM</v>
          </cell>
          <cell r="AK65" t="str">
            <v>NM</v>
          </cell>
          <cell r="AL65" t="str">
            <v>NM</v>
          </cell>
          <cell r="AM65" t="str">
            <v>NM</v>
          </cell>
          <cell r="AN65" t="str">
            <v>NM</v>
          </cell>
          <cell r="AO65" t="str">
            <v>NM</v>
          </cell>
          <cell r="AP65" t="str">
            <v>NA</v>
          </cell>
          <cell r="AQ65" t="str">
            <v>NA</v>
          </cell>
          <cell r="AR65" t="str">
            <v>NA</v>
          </cell>
          <cell r="AS65" t="str">
            <v>NA</v>
          </cell>
          <cell r="AT65" t="str">
            <v>NA</v>
          </cell>
          <cell r="AU65" t="str">
            <v>NA</v>
          </cell>
          <cell r="AV65" t="str">
            <v>NA</v>
          </cell>
          <cell r="AW65" t="str">
            <v>NA</v>
          </cell>
          <cell r="AX65" t="str">
            <v>NA</v>
          </cell>
          <cell r="AY65" t="str">
            <v>NA</v>
          </cell>
          <cell r="AZ65" t="str">
            <v>NA</v>
          </cell>
          <cell r="BA65" t="str">
            <v>NA</v>
          </cell>
          <cell r="BB65" t="str">
            <v>NA</v>
          </cell>
          <cell r="BC65" t="str">
            <v>NM</v>
          </cell>
          <cell r="BD65" t="str">
            <v>NM</v>
          </cell>
          <cell r="BE65" t="str">
            <v>NM</v>
          </cell>
          <cell r="BF65" t="str">
            <v>NM</v>
          </cell>
          <cell r="BG65" t="str">
            <v>NM</v>
          </cell>
          <cell r="BH65" t="str">
            <v>NM</v>
          </cell>
          <cell r="BI65" t="str">
            <v>NM</v>
          </cell>
        </row>
        <row r="66">
          <cell r="A66" t="str">
            <v>Square Feet of Mfg. space</v>
          </cell>
          <cell r="P66" t="str">
            <v>NM</v>
          </cell>
          <cell r="Q66" t="str">
            <v>NM</v>
          </cell>
          <cell r="R66" t="str">
            <v>NM</v>
          </cell>
          <cell r="S66" t="str">
            <v>NM</v>
          </cell>
          <cell r="T66" t="str">
            <v>NM</v>
          </cell>
          <cell r="U66" t="str">
            <v>NM</v>
          </cell>
          <cell r="V66" t="str">
            <v>NM</v>
          </cell>
          <cell r="W66" t="str">
            <v>NM</v>
          </cell>
          <cell r="X66" t="str">
            <v>NM</v>
          </cell>
          <cell r="Y66" t="str">
            <v>NM</v>
          </cell>
          <cell r="Z66">
            <v>15.9</v>
          </cell>
          <cell r="AA66" t="str">
            <v>NM</v>
          </cell>
          <cell r="AB66" t="str">
            <v>NM</v>
          </cell>
          <cell r="AC66" t="str">
            <v>NM</v>
          </cell>
          <cell r="AD66" t="str">
            <v>NM</v>
          </cell>
          <cell r="AE66">
            <v>16</v>
          </cell>
          <cell r="AF66" t="str">
            <v>NM</v>
          </cell>
          <cell r="AG66" t="str">
            <v>NM</v>
          </cell>
          <cell r="AH66" t="str">
            <v>NM</v>
          </cell>
          <cell r="AI66" t="str">
            <v>NM</v>
          </cell>
          <cell r="AJ66">
            <v>17.8</v>
          </cell>
          <cell r="AK66" t="str">
            <v>NM</v>
          </cell>
          <cell r="AL66" t="str">
            <v>NM</v>
          </cell>
          <cell r="AM66" t="str">
            <v>NM</v>
          </cell>
          <cell r="AN66" t="str">
            <v>NM</v>
          </cell>
          <cell r="AO66">
            <v>14</v>
          </cell>
          <cell r="AP66" t="str">
            <v>NA</v>
          </cell>
          <cell r="AQ66" t="str">
            <v>NA</v>
          </cell>
          <cell r="AR66" t="str">
            <v>NA</v>
          </cell>
          <cell r="AS66" t="str">
            <v>NA</v>
          </cell>
          <cell r="AT66">
            <v>14.2</v>
          </cell>
          <cell r="AU66" t="str">
            <v>NA</v>
          </cell>
          <cell r="AV66" t="str">
            <v>NA</v>
          </cell>
          <cell r="AW66" t="str">
            <v>NA</v>
          </cell>
          <cell r="AX66" t="str">
            <v>NA</v>
          </cell>
          <cell r="AY66">
            <v>16.7</v>
          </cell>
          <cell r="AZ66" t="str">
            <v>NA</v>
          </cell>
          <cell r="BA66" t="str">
            <v>NA</v>
          </cell>
          <cell r="BB66" t="str">
            <v>NA</v>
          </cell>
          <cell r="BC66">
            <v>16.7</v>
          </cell>
          <cell r="BD66">
            <v>16.7</v>
          </cell>
          <cell r="BE66">
            <v>16.7</v>
          </cell>
          <cell r="BF66">
            <v>16.7</v>
          </cell>
          <cell r="BG66">
            <v>16.7</v>
          </cell>
          <cell r="BH66">
            <v>16.7</v>
          </cell>
          <cell r="BI66">
            <v>16.7</v>
          </cell>
        </row>
        <row r="67">
          <cell r="A67" t="str">
            <v>LTM Sales/s.f.</v>
          </cell>
          <cell r="P67" t="str">
            <v>NM</v>
          </cell>
          <cell r="Q67" t="str">
            <v>NM</v>
          </cell>
          <cell r="R67" t="str">
            <v>NM</v>
          </cell>
          <cell r="S67" t="str">
            <v>NM</v>
          </cell>
          <cell r="T67" t="str">
            <v>NM</v>
          </cell>
          <cell r="U67" t="str">
            <v>NM</v>
          </cell>
          <cell r="V67" t="str">
            <v>NM</v>
          </cell>
          <cell r="W67" t="str">
            <v>NM</v>
          </cell>
          <cell r="X67" t="str">
            <v>NM</v>
          </cell>
          <cell r="Y67" t="str">
            <v>NM</v>
          </cell>
          <cell r="Z67">
            <v>251.87421383647799</v>
          </cell>
          <cell r="AA67" t="str">
            <v>NM</v>
          </cell>
          <cell r="AB67" t="str">
            <v>NM</v>
          </cell>
          <cell r="AC67" t="str">
            <v>NM</v>
          </cell>
          <cell r="AD67" t="str">
            <v>NM</v>
          </cell>
          <cell r="AE67">
            <v>298.15625</v>
          </cell>
          <cell r="AF67" t="str">
            <v>NM</v>
          </cell>
          <cell r="AG67" t="str">
            <v>NM</v>
          </cell>
          <cell r="AH67" t="str">
            <v>NM</v>
          </cell>
          <cell r="AI67" t="str">
            <v>NM</v>
          </cell>
          <cell r="AJ67">
            <v>182.98314606741573</v>
          </cell>
          <cell r="AK67" t="str">
            <v>NM</v>
          </cell>
          <cell r="AL67" t="str">
            <v>NM</v>
          </cell>
          <cell r="AM67" t="str">
            <v>NM</v>
          </cell>
          <cell r="AN67" t="str">
            <v>NM</v>
          </cell>
          <cell r="AO67">
            <v>260.82857142857142</v>
          </cell>
          <cell r="AP67" t="str">
            <v>NA</v>
          </cell>
          <cell r="AQ67" t="str">
            <v>NA</v>
          </cell>
          <cell r="AR67" t="str">
            <v>NA</v>
          </cell>
          <cell r="AS67" t="str">
            <v>NA</v>
          </cell>
          <cell r="AT67">
            <v>247.66197183098595</v>
          </cell>
          <cell r="AU67" t="str">
            <v>NA</v>
          </cell>
          <cell r="AV67" t="str">
            <v>NA</v>
          </cell>
          <cell r="AW67" t="str">
            <v>NA</v>
          </cell>
          <cell r="AX67" t="str">
            <v>NA</v>
          </cell>
          <cell r="AY67">
            <v>208.62275449101799</v>
          </cell>
          <cell r="AZ67" t="str">
            <v>NA</v>
          </cell>
          <cell r="BA67" t="str">
            <v>NA</v>
          </cell>
          <cell r="BB67" t="str">
            <v>NA</v>
          </cell>
          <cell r="BC67" t="str">
            <v>NM</v>
          </cell>
          <cell r="BD67">
            <v>251.53413173652694</v>
          </cell>
          <cell r="BE67" t="str">
            <v>NM</v>
          </cell>
          <cell r="BF67" t="str">
            <v>NM</v>
          </cell>
          <cell r="BG67" t="str">
            <v>NM</v>
          </cell>
          <cell r="BH67" t="str">
            <v>NM</v>
          </cell>
          <cell r="BI67">
            <v>294.02407185628738</v>
          </cell>
        </row>
        <row r="68">
          <cell r="A68" t="str">
            <v>YOY Chg in LTM Sales/s.f.</v>
          </cell>
          <cell r="P68" t="str">
            <v>NM</v>
          </cell>
          <cell r="Q68" t="str">
            <v>NM</v>
          </cell>
          <cell r="R68" t="str">
            <v>NM</v>
          </cell>
          <cell r="S68" t="str">
            <v>NM</v>
          </cell>
          <cell r="T68" t="str">
            <v>NM</v>
          </cell>
          <cell r="U68" t="str">
            <v>NM</v>
          </cell>
          <cell r="V68" t="str">
            <v>NM</v>
          </cell>
          <cell r="W68" t="str">
            <v>NM</v>
          </cell>
          <cell r="X68" t="str">
            <v>NM</v>
          </cell>
          <cell r="Y68" t="str">
            <v>NM</v>
          </cell>
          <cell r="Z68" t="str">
            <v>NM</v>
          </cell>
          <cell r="AA68" t="str">
            <v>NM</v>
          </cell>
          <cell r="AB68" t="str">
            <v>NM</v>
          </cell>
          <cell r="AC68" t="str">
            <v>NM</v>
          </cell>
          <cell r="AD68" t="str">
            <v>NM</v>
          </cell>
          <cell r="AE68">
            <v>0.18375059303835406</v>
          </cell>
          <cell r="AF68" t="str">
            <v>NM</v>
          </cell>
          <cell r="AG68" t="str">
            <v>NM</v>
          </cell>
          <cell r="AH68" t="str">
            <v>NM</v>
          </cell>
          <cell r="AI68" t="str">
            <v>NM</v>
          </cell>
          <cell r="AJ68">
            <v>-0.38628438589693914</v>
          </cell>
          <cell r="AK68" t="str">
            <v>NM</v>
          </cell>
          <cell r="AL68" t="str">
            <v>NM</v>
          </cell>
          <cell r="AM68" t="str">
            <v>NM</v>
          </cell>
          <cell r="AN68" t="str">
            <v>NM</v>
          </cell>
          <cell r="AO68">
            <v>0.42542401873708857</v>
          </cell>
          <cell r="AP68" t="str">
            <v>NA</v>
          </cell>
          <cell r="AQ68" t="str">
            <v>NA</v>
          </cell>
          <cell r="AR68" t="str">
            <v>NA</v>
          </cell>
          <cell r="AS68" t="str">
            <v>NA</v>
          </cell>
          <cell r="AT68">
            <v>-5.0479897679427288E-2</v>
          </cell>
          <cell r="AU68" t="str">
            <v>NA</v>
          </cell>
          <cell r="AV68" t="str">
            <v>NA</v>
          </cell>
          <cell r="AW68" t="str">
            <v>NA</v>
          </cell>
          <cell r="AX68" t="str">
            <v>NA</v>
          </cell>
          <cell r="AY68">
            <v>-0.15763105272621269</v>
          </cell>
          <cell r="AZ68" t="str">
            <v>NA</v>
          </cell>
          <cell r="BA68" t="str">
            <v>NA</v>
          </cell>
          <cell r="BB68" t="str">
            <v>NA</v>
          </cell>
          <cell r="BC68" t="str">
            <v>NM</v>
          </cell>
          <cell r="BD68">
            <v>0.20568886337543035</v>
          </cell>
          <cell r="BE68" t="str">
            <v>NM</v>
          </cell>
          <cell r="BF68" t="str">
            <v>NM</v>
          </cell>
          <cell r="BG68" t="str">
            <v>NM</v>
          </cell>
          <cell r="BH68" t="str">
            <v>NM</v>
          </cell>
          <cell r="BI68">
            <v>0.16892315896224819</v>
          </cell>
        </row>
        <row r="69">
          <cell r="A69" t="str">
            <v>LTM Sales Per Plant (Millions)</v>
          </cell>
          <cell r="P69" t="str">
            <v>NM</v>
          </cell>
          <cell r="Q69" t="str">
            <v>NM</v>
          </cell>
          <cell r="R69" t="str">
            <v>NM</v>
          </cell>
          <cell r="S69" t="str">
            <v>NM</v>
          </cell>
          <cell r="T69" t="str">
            <v>NM</v>
          </cell>
          <cell r="U69" t="str">
            <v>NM</v>
          </cell>
          <cell r="V69" t="str">
            <v>NM</v>
          </cell>
          <cell r="W69" t="str">
            <v>NM</v>
          </cell>
          <cell r="X69" t="str">
            <v>NM</v>
          </cell>
          <cell r="Y69" t="str">
            <v>NM</v>
          </cell>
          <cell r="Z69" t="str">
            <v>NM</v>
          </cell>
          <cell r="AA69" t="str">
            <v>NM</v>
          </cell>
          <cell r="AB69" t="str">
            <v>NM</v>
          </cell>
          <cell r="AC69" t="str">
            <v>NM</v>
          </cell>
          <cell r="AD69" t="str">
            <v>NM</v>
          </cell>
          <cell r="AE69" t="str">
            <v>NM</v>
          </cell>
          <cell r="AF69" t="str">
            <v>NM</v>
          </cell>
          <cell r="AG69" t="str">
            <v>NM</v>
          </cell>
          <cell r="AH69" t="str">
            <v>NM</v>
          </cell>
          <cell r="AI69" t="str">
            <v>NM</v>
          </cell>
          <cell r="AJ69" t="str">
            <v>NM</v>
          </cell>
          <cell r="AK69" t="str">
            <v>NM</v>
          </cell>
          <cell r="AL69" t="str">
            <v>NM</v>
          </cell>
          <cell r="AM69" t="str">
            <v>NM</v>
          </cell>
          <cell r="AN69" t="str">
            <v>NM</v>
          </cell>
          <cell r="AO69" t="str">
            <v>NM</v>
          </cell>
          <cell r="AP69" t="str">
            <v>NA</v>
          </cell>
          <cell r="AQ69" t="str">
            <v>NA</v>
          </cell>
          <cell r="AR69" t="str">
            <v>NA</v>
          </cell>
          <cell r="AS69" t="str">
            <v>NA</v>
          </cell>
          <cell r="AT69">
            <v>78.151111111111121</v>
          </cell>
          <cell r="AU69" t="str">
            <v>NA</v>
          </cell>
          <cell r="AV69" t="str">
            <v>NA</v>
          </cell>
          <cell r="AW69" t="str">
            <v>NA</v>
          </cell>
          <cell r="AX69" t="str">
            <v>NA</v>
          </cell>
          <cell r="AY69">
            <v>87.1</v>
          </cell>
          <cell r="AZ69" t="str">
            <v>NA</v>
          </cell>
          <cell r="BA69" t="str">
            <v>NA</v>
          </cell>
          <cell r="BB69" t="str">
            <v>NA</v>
          </cell>
          <cell r="BC69" t="str">
            <v>NM</v>
          </cell>
          <cell r="BD69" t="str">
            <v>NM</v>
          </cell>
          <cell r="BE69" t="str">
            <v>NM</v>
          </cell>
          <cell r="BF69" t="str">
            <v>NM</v>
          </cell>
          <cell r="BG69" t="str">
            <v>NM</v>
          </cell>
          <cell r="BH69" t="str">
            <v>NM</v>
          </cell>
          <cell r="BI69" t="str">
            <v>NM</v>
          </cell>
        </row>
        <row r="70">
          <cell r="A70" t="str">
            <v>LTM Revenues</v>
          </cell>
          <cell r="P70" t="str">
            <v>NM</v>
          </cell>
          <cell r="Q70" t="str">
            <v>NM</v>
          </cell>
          <cell r="R70" t="str">
            <v>NM</v>
          </cell>
          <cell r="S70" t="str">
            <v>NM</v>
          </cell>
          <cell r="T70" t="str">
            <v>NM</v>
          </cell>
          <cell r="U70" t="str">
            <v>NM</v>
          </cell>
          <cell r="V70">
            <v>3783.8999999999996</v>
          </cell>
          <cell r="W70">
            <v>3819.2</v>
          </cell>
          <cell r="X70">
            <v>3918</v>
          </cell>
          <cell r="Y70">
            <v>4004.8</v>
          </cell>
          <cell r="Z70">
            <v>4004.8</v>
          </cell>
          <cell r="AA70">
            <v>4136.7</v>
          </cell>
          <cell r="AB70">
            <v>4335.6000000000004</v>
          </cell>
          <cell r="AC70">
            <v>4580</v>
          </cell>
          <cell r="AD70">
            <v>4770.5</v>
          </cell>
          <cell r="AE70">
            <v>4770.5</v>
          </cell>
          <cell r="AF70">
            <v>4589.1000000000004</v>
          </cell>
          <cell r="AG70">
            <v>4284.7</v>
          </cell>
          <cell r="AH70">
            <v>3676.8</v>
          </cell>
          <cell r="AI70">
            <v>3257.1000000000004</v>
          </cell>
          <cell r="AJ70">
            <v>3257.1000000000004</v>
          </cell>
          <cell r="AK70">
            <v>3327.2</v>
          </cell>
          <cell r="AL70">
            <v>3439.6000000000004</v>
          </cell>
          <cell r="AM70">
            <v>3515.3</v>
          </cell>
          <cell r="AN70">
            <v>3651.6</v>
          </cell>
          <cell r="AO70">
            <v>3651.6</v>
          </cell>
          <cell r="AP70">
            <v>3631.1</v>
          </cell>
          <cell r="AQ70">
            <v>3622.9</v>
          </cell>
          <cell r="AR70">
            <v>3604.6</v>
          </cell>
          <cell r="AS70">
            <v>3516.8</v>
          </cell>
          <cell r="AT70">
            <v>3516.8</v>
          </cell>
          <cell r="AU70">
            <v>3494.5</v>
          </cell>
          <cell r="AV70">
            <v>3444.8999999999996</v>
          </cell>
          <cell r="AW70">
            <v>3459.5</v>
          </cell>
          <cell r="AX70">
            <v>3484</v>
          </cell>
          <cell r="AY70">
            <v>3484</v>
          </cell>
          <cell r="AZ70">
            <v>3581.3999999999996</v>
          </cell>
          <cell r="BA70">
            <v>3745.5</v>
          </cell>
          <cell r="BB70">
            <v>3975.6</v>
          </cell>
          <cell r="BC70">
            <v>4200.62</v>
          </cell>
          <cell r="BD70">
            <v>4200.62</v>
          </cell>
          <cell r="BE70">
            <v>4429.5439999999999</v>
          </cell>
          <cell r="BF70">
            <v>4669.9939999999997</v>
          </cell>
          <cell r="BG70">
            <v>4795.0199999999995</v>
          </cell>
          <cell r="BH70">
            <v>4910.2019999999993</v>
          </cell>
          <cell r="BI70">
            <v>4910.2019999999993</v>
          </cell>
        </row>
        <row r="71">
          <cell r="A71" t="str">
            <v>LTM Revenue Growth</v>
          </cell>
          <cell r="P71" t="str">
            <v>NM</v>
          </cell>
          <cell r="Q71" t="str">
            <v>NM</v>
          </cell>
          <cell r="R71" t="str">
            <v>NM</v>
          </cell>
          <cell r="S71" t="str">
            <v>NM</v>
          </cell>
          <cell r="T71" t="str">
            <v>NM</v>
          </cell>
          <cell r="U71" t="str">
            <v>NM</v>
          </cell>
          <cell r="V71" t="str">
            <v>NM</v>
          </cell>
          <cell r="W71" t="str">
            <v>NM</v>
          </cell>
          <cell r="X71" t="str">
            <v>NM</v>
          </cell>
          <cell r="Y71" t="str">
            <v>NM</v>
          </cell>
          <cell r="Z71" t="str">
            <v>NM</v>
          </cell>
          <cell r="AA71">
            <v>9.3237136287956934E-2</v>
          </cell>
          <cell r="AB71">
            <v>0.1352115626309176</v>
          </cell>
          <cell r="AC71">
            <v>0.16896375701888711</v>
          </cell>
          <cell r="AD71">
            <v>0.19119556532161397</v>
          </cell>
          <cell r="AE71">
            <v>0.19119556532161397</v>
          </cell>
          <cell r="AF71">
            <v>0.10936253535426799</v>
          </cell>
          <cell r="AG71">
            <v>-1.1740012916320763E-2</v>
          </cell>
          <cell r="AH71">
            <v>-0.19720524017467245</v>
          </cell>
          <cell r="AI71">
            <v>-0.3172413793103448</v>
          </cell>
          <cell r="AJ71">
            <v>-0.3172413793103448</v>
          </cell>
          <cell r="AK71">
            <v>-0.27497766446579952</v>
          </cell>
          <cell r="AL71">
            <v>-0.19723667934744549</v>
          </cell>
          <cell r="AM71">
            <v>-4.3924064403829455E-2</v>
          </cell>
          <cell r="AN71">
            <v>0.12112001473703593</v>
          </cell>
          <cell r="AO71">
            <v>0.12112001473703593</v>
          </cell>
          <cell r="AP71">
            <v>9.1338062034142853E-2</v>
          </cell>
          <cell r="AQ71">
            <v>5.3291080358181198E-2</v>
          </cell>
          <cell r="AR71">
            <v>2.5403237277046076E-2</v>
          </cell>
          <cell r="AS71">
            <v>-3.6915324789133508E-2</v>
          </cell>
          <cell r="AT71">
            <v>-3.6915324789133508E-2</v>
          </cell>
          <cell r="AU71">
            <v>-3.7619454159896426E-2</v>
          </cell>
          <cell r="AV71">
            <v>-4.9131910900107822E-2</v>
          </cell>
          <cell r="AW71">
            <v>-4.025411973589299E-2</v>
          </cell>
          <cell r="AX71">
            <v>-9.3266606005459884E-3</v>
          </cell>
          <cell r="AY71">
            <v>-9.3266606005459884E-3</v>
          </cell>
          <cell r="AZ71">
            <v>2.486764916297024E-2</v>
          </cell>
          <cell r="BA71">
            <v>8.7259426979012567E-2</v>
          </cell>
          <cell r="BB71">
            <v>0.14918340800693741</v>
          </cell>
          <cell r="BC71">
            <v>0.20568886337543058</v>
          </cell>
          <cell r="BD71">
            <v>0.20568886337543058</v>
          </cell>
          <cell r="BE71">
            <v>0.23681912101412861</v>
          </cell>
          <cell r="BF71">
            <v>0.246827926845548</v>
          </cell>
          <cell r="BG71">
            <v>0.2061122849381225</v>
          </cell>
          <cell r="BH71">
            <v>0.16892315896224819</v>
          </cell>
          <cell r="BI71">
            <v>0.16892315896224819</v>
          </cell>
        </row>
        <row r="72">
          <cell r="A72" t="str">
            <v>LTM Gross Margin</v>
          </cell>
          <cell r="P72" t="str">
            <v>NM</v>
          </cell>
          <cell r="Q72" t="str">
            <v>NM</v>
          </cell>
          <cell r="R72" t="str">
            <v>NM</v>
          </cell>
          <cell r="S72" t="str">
            <v>NM</v>
          </cell>
          <cell r="T72" t="str">
            <v>NM</v>
          </cell>
          <cell r="U72" t="str">
            <v>NM</v>
          </cell>
          <cell r="V72">
            <v>0.351198498903248</v>
          </cell>
          <cell r="W72">
            <v>0.35908043569333897</v>
          </cell>
          <cell r="X72">
            <v>0.35487493619193466</v>
          </cell>
          <cell r="Y72">
            <v>0.35152816620055932</v>
          </cell>
          <cell r="Z72">
            <v>0.35152816620055932</v>
          </cell>
          <cell r="AA72">
            <v>0.35044842507312596</v>
          </cell>
          <cell r="AB72">
            <v>0.35079343112833289</v>
          </cell>
          <cell r="AC72">
            <v>0.35729257641921397</v>
          </cell>
          <cell r="AD72">
            <v>0.35836914369562944</v>
          </cell>
          <cell r="AE72">
            <v>0.35836914369562944</v>
          </cell>
          <cell r="AF72">
            <v>0.36270728465276419</v>
          </cell>
          <cell r="AG72">
            <v>0.36359605106541887</v>
          </cell>
          <cell r="AH72">
            <v>0.36942449956483897</v>
          </cell>
          <cell r="AI72">
            <v>0.37594792913941844</v>
          </cell>
          <cell r="AJ72">
            <v>0.37594792913941844</v>
          </cell>
          <cell r="AK72">
            <v>0.37971868237557105</v>
          </cell>
          <cell r="AL72">
            <v>0.37952087452029304</v>
          </cell>
          <cell r="AM72">
            <v>0.3810485591556908</v>
          </cell>
          <cell r="AN72">
            <v>0.38139445722423043</v>
          </cell>
          <cell r="AO72">
            <v>0.38139445722423043</v>
          </cell>
          <cell r="AP72">
            <v>0.38927597697667377</v>
          </cell>
          <cell r="AQ72">
            <v>0.40263324960666874</v>
          </cell>
          <cell r="AR72">
            <v>0.40689674305054663</v>
          </cell>
          <cell r="AS72">
            <v>0.41927320291173792</v>
          </cell>
          <cell r="AT72">
            <v>0.41927320291173792</v>
          </cell>
          <cell r="AU72">
            <v>0.40440692516812127</v>
          </cell>
          <cell r="AV72">
            <v>0.39144822781503097</v>
          </cell>
          <cell r="AW72">
            <v>0.38673218673218668</v>
          </cell>
          <cell r="AX72">
            <v>0.38177382319173364</v>
          </cell>
          <cell r="AY72">
            <v>0.38177382319173364</v>
          </cell>
          <cell r="AZ72">
            <v>0.38920533869436541</v>
          </cell>
          <cell r="BA72">
            <v>0.39158990788946729</v>
          </cell>
          <cell r="BB72">
            <v>0.38992856424187539</v>
          </cell>
          <cell r="BC72">
            <v>0.38615614837809653</v>
          </cell>
          <cell r="BD72">
            <v>0.38615614837809653</v>
          </cell>
          <cell r="BE72">
            <v>0.38600541726191223</v>
          </cell>
          <cell r="BF72">
            <v>0.38610402497305135</v>
          </cell>
          <cell r="BG72">
            <v>0.38690925585294744</v>
          </cell>
          <cell r="BH72">
            <v>0.38756819984188023</v>
          </cell>
          <cell r="BI72">
            <v>0.38756819984188023</v>
          </cell>
        </row>
        <row r="73">
          <cell r="A73" t="str">
            <v>LTM Operating Margin</v>
          </cell>
          <cell r="P73" t="str">
            <v>NM</v>
          </cell>
          <cell r="Q73" t="str">
            <v>NM</v>
          </cell>
          <cell r="R73" t="str">
            <v>NM</v>
          </cell>
          <cell r="S73" t="str">
            <v>NM</v>
          </cell>
          <cell r="T73" t="str">
            <v>NM</v>
          </cell>
          <cell r="U73" t="str">
            <v>NM</v>
          </cell>
          <cell r="V73">
            <v>0.12167340574539497</v>
          </cell>
          <cell r="W73">
            <v>0.12625680770842063</v>
          </cell>
          <cell r="X73">
            <v>0.11978050025523225</v>
          </cell>
          <cell r="Y73">
            <v>0.11503695565321609</v>
          </cell>
          <cell r="Z73">
            <v>0.11503695565321609</v>
          </cell>
          <cell r="AA73">
            <v>0.11724321318925711</v>
          </cell>
          <cell r="AB73">
            <v>0.12208229541470608</v>
          </cell>
          <cell r="AC73">
            <v>0.13471615720524016</v>
          </cell>
          <cell r="AD73">
            <v>0.13855989938161622</v>
          </cell>
          <cell r="AE73">
            <v>0.13855989938161622</v>
          </cell>
          <cell r="AF73">
            <v>0.1448650062103681</v>
          </cell>
          <cell r="AG73">
            <v>0.14621793824538479</v>
          </cell>
          <cell r="AH73">
            <v>0.14708442123585727</v>
          </cell>
          <cell r="AI73">
            <v>0.15123883208989591</v>
          </cell>
          <cell r="AJ73">
            <v>0.15123883208989591</v>
          </cell>
          <cell r="AK73">
            <v>0.15111805722529456</v>
          </cell>
          <cell r="AL73">
            <v>0.15309919758111415</v>
          </cell>
          <cell r="AM73">
            <v>0.15216339999431067</v>
          </cell>
          <cell r="AN73">
            <v>0.15379559645087093</v>
          </cell>
          <cell r="AO73">
            <v>0.15379559645087093</v>
          </cell>
          <cell r="AP73">
            <v>0.16697419514747602</v>
          </cell>
          <cell r="AQ73">
            <v>0.18010433630516995</v>
          </cell>
          <cell r="AR73">
            <v>0.18487488209510072</v>
          </cell>
          <cell r="AS73">
            <v>0.19409690627843493</v>
          </cell>
          <cell r="AT73">
            <v>0.19409690627843493</v>
          </cell>
          <cell r="AU73">
            <v>0.17773644298182856</v>
          </cell>
          <cell r="AV73">
            <v>0.15878545095648636</v>
          </cell>
          <cell r="AW73">
            <v>0.16097701980054915</v>
          </cell>
          <cell r="AX73">
            <v>0.15743398392652114</v>
          </cell>
          <cell r="AY73">
            <v>0.15743398392652114</v>
          </cell>
          <cell r="AZ73">
            <v>0.16080303791813255</v>
          </cell>
          <cell r="BA73">
            <v>0.16668001601922305</v>
          </cell>
          <cell r="BB73">
            <v>0.15957339772612936</v>
          </cell>
          <cell r="BC73">
            <v>0.1572461303331413</v>
          </cell>
          <cell r="BD73">
            <v>0.1572461303331413</v>
          </cell>
          <cell r="BE73">
            <v>0.15876114561679486</v>
          </cell>
          <cell r="BF73">
            <v>0.16199611766096483</v>
          </cell>
          <cell r="BG73">
            <v>0.16642008045326193</v>
          </cell>
          <cell r="BH73">
            <v>0.17021511469726705</v>
          </cell>
          <cell r="BI73">
            <v>0.17021511469726705</v>
          </cell>
        </row>
        <row r="74">
          <cell r="A74" t="str">
            <v>LTM Operating Margin Change</v>
          </cell>
          <cell r="P74" t="str">
            <v>NM</v>
          </cell>
          <cell r="Q74" t="str">
            <v>NM</v>
          </cell>
          <cell r="R74" t="str">
            <v>NM</v>
          </cell>
          <cell r="S74" t="str">
            <v>NM</v>
          </cell>
          <cell r="T74" t="str">
            <v>NM</v>
          </cell>
          <cell r="U74" t="str">
            <v>NM</v>
          </cell>
          <cell r="V74" t="str">
            <v>NM</v>
          </cell>
          <cell r="W74" t="str">
            <v>NM</v>
          </cell>
          <cell r="X74" t="str">
            <v>NM</v>
          </cell>
          <cell r="Y74" t="str">
            <v>NM</v>
          </cell>
          <cell r="Z74" t="str">
            <v>NM</v>
          </cell>
          <cell r="AA74">
            <v>-3.6410524789682985E-2</v>
          </cell>
          <cell r="AB74">
            <v>-3.3063661037234682E-2</v>
          </cell>
          <cell r="AC74">
            <v>0.12469188990012992</v>
          </cell>
          <cell r="AD74">
            <v>0.20448162588126095</v>
          </cell>
          <cell r="AE74">
            <v>0.20448162588126095</v>
          </cell>
          <cell r="AF74">
            <v>0.23559396121738119</v>
          </cell>
          <cell r="AG74">
            <v>0.19769977906043956</v>
          </cell>
          <cell r="AH74">
            <v>9.1809804311550058E-2</v>
          </cell>
          <cell r="AI74">
            <v>9.150506578645734E-2</v>
          </cell>
          <cell r="AJ74">
            <v>9.150506578645734E-2</v>
          </cell>
          <cell r="AK74">
            <v>4.3164675710889E-2</v>
          </cell>
          <cell r="AL74">
            <v>4.7061663010055099E-2</v>
          </cell>
          <cell r="AM74">
            <v>3.4531044931733534E-2</v>
          </cell>
          <cell r="AN74">
            <v>1.6905475436727047E-2</v>
          </cell>
          <cell r="AO74">
            <v>1.6905475436727047E-2</v>
          </cell>
          <cell r="AP74">
            <v>0.10492550138162726</v>
          </cell>
          <cell r="AQ74">
            <v>0.17638981229635831</v>
          </cell>
          <cell r="AR74">
            <v>0.21497601987083059</v>
          </cell>
          <cell r="AS74">
            <v>0.2620446277890538</v>
          </cell>
          <cell r="AT74">
            <v>0.2620446277890538</v>
          </cell>
          <cell r="AU74">
            <v>6.4454557333527118E-2</v>
          </cell>
          <cell r="AV74">
            <v>-0.11836963943256051</v>
          </cell>
          <cell r="AW74">
            <v>-0.12926505766347629</v>
          </cell>
          <cell r="AX74">
            <v>-0.18888978219632346</v>
          </cell>
          <cell r="AY74">
            <v>-0.18888978219632346</v>
          </cell>
          <cell r="AZ74">
            <v>-9.5272555136186932E-2</v>
          </cell>
          <cell r="BA74">
            <v>4.9718440922525975E-2</v>
          </cell>
          <cell r="BB74">
            <v>-8.7193940859315866E-3</v>
          </cell>
          <cell r="BC74">
            <v>-1.1932213661537405E-3</v>
          </cell>
          <cell r="BD74">
            <v>-1.1932213661537405E-3</v>
          </cell>
          <cell r="BE74">
            <v>-1.2698095308232071E-2</v>
          </cell>
          <cell r="BF74">
            <v>-2.8101139357450178E-2</v>
          </cell>
          <cell r="BG74">
            <v>4.2906166220031849E-2</v>
          </cell>
          <cell r="BH74">
            <v>8.2475698045158197E-2</v>
          </cell>
          <cell r="BI74">
            <v>8.2475698045158197E-2</v>
          </cell>
        </row>
        <row r="75">
          <cell r="A75" t="str">
            <v>LTM EBITDA Margin</v>
          </cell>
          <cell r="P75" t="str">
            <v>NM</v>
          </cell>
          <cell r="Q75" t="str">
            <v>NM</v>
          </cell>
          <cell r="R75" t="str">
            <v>NM</v>
          </cell>
          <cell r="S75" t="str">
            <v>NM</v>
          </cell>
          <cell r="T75" t="str">
            <v>NM</v>
          </cell>
          <cell r="U75" t="str">
            <v>NM</v>
          </cell>
          <cell r="V75" t="str">
            <v>NM</v>
          </cell>
          <cell r="W75" t="str">
            <v>NM</v>
          </cell>
          <cell r="X75" t="str">
            <v>NM</v>
          </cell>
          <cell r="Y75" t="str">
            <v>NM</v>
          </cell>
          <cell r="Z75" t="str">
            <v>NM</v>
          </cell>
          <cell r="AA75" t="str">
            <v>NM</v>
          </cell>
          <cell r="AB75" t="str">
            <v>NM</v>
          </cell>
          <cell r="AC75" t="str">
            <v>NM</v>
          </cell>
          <cell r="AD75" t="str">
            <v>NM</v>
          </cell>
          <cell r="AE75" t="str">
            <v>NM</v>
          </cell>
          <cell r="AF75" t="str">
            <v>NM</v>
          </cell>
          <cell r="AG75" t="str">
            <v>NM</v>
          </cell>
          <cell r="AH75" t="str">
            <v>NM</v>
          </cell>
          <cell r="AI75" t="str">
            <v>NM</v>
          </cell>
          <cell r="AJ75" t="str">
            <v>NM</v>
          </cell>
          <cell r="AK75" t="str">
            <v>NM</v>
          </cell>
          <cell r="AL75" t="str">
            <v>NM</v>
          </cell>
          <cell r="AM75" t="str">
            <v>NM</v>
          </cell>
          <cell r="AN75">
            <v>0.23269251834812146</v>
          </cell>
          <cell r="AO75">
            <v>0.23269251834812146</v>
          </cell>
          <cell r="AP75">
            <v>0.24774861612183643</v>
          </cell>
          <cell r="AQ75">
            <v>0.26202765740152922</v>
          </cell>
          <cell r="AR75">
            <v>0.26807412750374526</v>
          </cell>
          <cell r="AS75">
            <v>0.27863398544131024</v>
          </cell>
          <cell r="AT75">
            <v>0.27863398544131024</v>
          </cell>
          <cell r="AU75">
            <v>0.26332808699384741</v>
          </cell>
          <cell r="AV75">
            <v>0.24703184417544771</v>
          </cell>
          <cell r="AW75">
            <v>0.24954473189767298</v>
          </cell>
          <cell r="AX75">
            <v>0.24296785304247981</v>
          </cell>
          <cell r="AY75">
            <v>0.24296785304247981</v>
          </cell>
          <cell r="AZ75">
            <v>0.24839448260456803</v>
          </cell>
          <cell r="BA75">
            <v>0.25491923641703373</v>
          </cell>
          <cell r="BB75">
            <v>0.24756011671194283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</row>
        <row r="76">
          <cell r="A76" t="str">
            <v>LTM EPS</v>
          </cell>
          <cell r="P76" t="str">
            <v>NM</v>
          </cell>
          <cell r="Q76" t="str">
            <v>NM</v>
          </cell>
          <cell r="R76" t="str">
            <v>NM</v>
          </cell>
          <cell r="S76" t="str">
            <v>NM</v>
          </cell>
          <cell r="T76">
            <v>1.8422860617471355</v>
          </cell>
          <cell r="U76">
            <v>1.8422860617471355</v>
          </cell>
          <cell r="V76">
            <v>1.7158989217015397</v>
          </cell>
          <cell r="W76">
            <v>1.7445741490695816</v>
          </cell>
          <cell r="X76">
            <v>0.99512884230245857</v>
          </cell>
          <cell r="Y76">
            <v>0.928421590701343</v>
          </cell>
          <cell r="Z76">
            <v>0.928421590701343</v>
          </cell>
          <cell r="AA76">
            <v>0.89184731247962956</v>
          </cell>
          <cell r="AB76">
            <v>0.84937640526039981</v>
          </cell>
          <cell r="AC76">
            <v>1.5751525344065134</v>
          </cell>
          <cell r="AD76">
            <v>1.5869899838871613</v>
          </cell>
          <cell r="AE76">
            <v>1.5869899838871613</v>
          </cell>
          <cell r="AF76">
            <v>1.6140303054854608</v>
          </cell>
          <cell r="AG76">
            <v>1.5408492802646441</v>
          </cell>
          <cell r="AH76">
            <v>1.4038340264095472</v>
          </cell>
          <cell r="AI76">
            <v>1.2912489070981641</v>
          </cell>
          <cell r="AJ76">
            <v>1.2912489070981641</v>
          </cell>
          <cell r="AK76">
            <v>1.3117480530637802</v>
          </cell>
          <cell r="AL76">
            <v>1.3608519040049845</v>
          </cell>
          <cell r="AM76">
            <v>1.3989113673698581</v>
          </cell>
          <cell r="AN76">
            <v>1.4776943724176888</v>
          </cell>
          <cell r="AO76">
            <v>1.4776943724176888</v>
          </cell>
          <cell r="AP76">
            <v>1.5717334683563846</v>
          </cell>
          <cell r="AQ76">
            <v>1.6905095407634749</v>
          </cell>
          <cell r="AR76">
            <v>1.7277633608749186</v>
          </cell>
          <cell r="AS76">
            <v>1.7216523603593727</v>
          </cell>
          <cell r="AT76">
            <v>1.7216523603593727</v>
          </cell>
          <cell r="AU76">
            <v>1.6273045668451063</v>
          </cell>
          <cell r="AV76">
            <v>1.4989325517428895</v>
          </cell>
          <cell r="AW76">
            <v>1.4975038598625436</v>
          </cell>
          <cell r="AX76">
            <v>1.5118715120565056</v>
          </cell>
          <cell r="AY76">
            <v>1.5118715120565056</v>
          </cell>
          <cell r="AZ76">
            <v>1.6033258926091092</v>
          </cell>
          <cell r="BA76">
            <v>1.7010363696291206</v>
          </cell>
          <cell r="BB76">
            <v>1.7946544570164178</v>
          </cell>
          <cell r="BC76">
            <v>1.862923222825382</v>
          </cell>
          <cell r="BD76">
            <v>1.862923222825382</v>
          </cell>
          <cell r="BE76">
            <v>1.9468009437326916</v>
          </cell>
          <cell r="BF76">
            <v>2.0602810738990871</v>
          </cell>
          <cell r="BG76">
            <v>2.1612256374769476</v>
          </cell>
          <cell r="BH76">
            <v>2.2523677182440207</v>
          </cell>
          <cell r="BI76">
            <v>2.2523677182440207</v>
          </cell>
        </row>
        <row r="77">
          <cell r="A77" t="str">
            <v>LTM EPS Growth</v>
          </cell>
          <cell r="P77" t="str">
            <v>NM</v>
          </cell>
          <cell r="Q77" t="str">
            <v>NM</v>
          </cell>
          <cell r="R77" t="str">
            <v>NM</v>
          </cell>
          <cell r="S77" t="str">
            <v>NM</v>
          </cell>
          <cell r="T77" t="str">
            <v>NM</v>
          </cell>
          <cell r="U77">
            <v>9.3613769816592418E-2</v>
          </cell>
          <cell r="V77" t="str">
            <v>NM</v>
          </cell>
          <cell r="W77" t="str">
            <v>NM</v>
          </cell>
          <cell r="X77" t="str">
            <v>NM</v>
          </cell>
          <cell r="Y77">
            <v>-0.49604916957311584</v>
          </cell>
          <cell r="Z77">
            <v>-0.49604916957311584</v>
          </cell>
          <cell r="AA77">
            <v>-0.48024484356267005</v>
          </cell>
          <cell r="AB77">
            <v>-0.51313252823711153</v>
          </cell>
          <cell r="AC77">
            <v>0.58286290925106443</v>
          </cell>
          <cell r="AD77">
            <v>0.70934196251115433</v>
          </cell>
          <cell r="AE77">
            <v>0.70934196251115433</v>
          </cell>
          <cell r="AF77">
            <v>0.80976079974712767</v>
          </cell>
          <cell r="AG77">
            <v>0.81409475318808044</v>
          </cell>
          <cell r="AH77">
            <v>-0.10876312246262265</v>
          </cell>
          <cell r="AI77">
            <v>-0.18635346145324194</v>
          </cell>
          <cell r="AJ77">
            <v>-0.18635346145324194</v>
          </cell>
          <cell r="AK77">
            <v>-0.18728412434037989</v>
          </cell>
          <cell r="AL77">
            <v>-0.11681699084075547</v>
          </cell>
          <cell r="AM77">
            <v>-3.5065819370965201E-3</v>
          </cell>
          <cell r="AN77">
            <v>0.14439157647654888</v>
          </cell>
          <cell r="AO77">
            <v>0.14439157647654888</v>
          </cell>
          <cell r="AP77">
            <v>0.19819767575440261</v>
          </cell>
          <cell r="AQ77">
            <v>0.24224357976669508</v>
          </cell>
          <cell r="AR77">
            <v>0.23507707577167403</v>
          </cell>
          <cell r="AS77">
            <v>0.16509367058259738</v>
          </cell>
          <cell r="AT77">
            <v>0.16509367058259738</v>
          </cell>
          <cell r="AU77">
            <v>3.5356566242007004E-2</v>
          </cell>
          <cell r="AV77">
            <v>-0.11332499722779688</v>
          </cell>
          <cell r="AW77">
            <v>-0.1332702766053413</v>
          </cell>
          <cell r="AX77">
            <v>-0.12184855266546268</v>
          </cell>
          <cell r="AY77">
            <v>-0.12184855266546268</v>
          </cell>
          <cell r="AZ77">
            <v>-1.4735209821530315E-2</v>
          </cell>
          <cell r="BA77">
            <v>0.13483182925825021</v>
          </cell>
          <cell r="BB77">
            <v>0.19843060516795541</v>
          </cell>
          <cell r="BC77">
            <v>0.23219678919100906</v>
          </cell>
          <cell r="BD77">
            <v>0.23219678919100906</v>
          </cell>
          <cell r="BE77">
            <v>0.2142265977908222</v>
          </cell>
          <cell r="BF77">
            <v>0.21119166567161285</v>
          </cell>
          <cell r="BG77">
            <v>0.20425724797738964</v>
          </cell>
          <cell r="BH77">
            <v>0.20905021240112731</v>
          </cell>
          <cell r="BI77">
            <v>0.20905021240112731</v>
          </cell>
        </row>
        <row r="78">
          <cell r="A78" t="str">
            <v>Forward 2 year Op. Income CAGR</v>
          </cell>
          <cell r="AU78">
            <v>0.30398697001999841</v>
          </cell>
          <cell r="AV78">
            <v>0.34956888197831826</v>
          </cell>
          <cell r="AW78">
            <v>0.13993784259864209</v>
          </cell>
          <cell r="AX78">
            <v>0.19143438564071757</v>
          </cell>
          <cell r="AY78">
            <v>0.23441282260888613</v>
          </cell>
          <cell r="BA78">
            <v>-0.99999988072370694</v>
          </cell>
          <cell r="BB78">
            <v>-0.99999988072370694</v>
          </cell>
        </row>
        <row r="79">
          <cell r="A79" t="str">
            <v>Forward 4Q EPS</v>
          </cell>
          <cell r="AU79">
            <v>1.5118715120565056</v>
          </cell>
          <cell r="AV79">
            <v>1.6033258926091092</v>
          </cell>
          <cell r="AW79">
            <v>1.7010363696291204</v>
          </cell>
          <cell r="AX79">
            <v>1.7946544570164176</v>
          </cell>
          <cell r="AZ79">
            <v>1.862923222825382</v>
          </cell>
          <cell r="BA79">
            <v>1.9468009437326916</v>
          </cell>
          <cell r="BB79">
            <v>2.0602810738990875</v>
          </cell>
          <cell r="BC79">
            <v>2.1612256374769476</v>
          </cell>
        </row>
        <row r="80">
          <cell r="A80" t="str">
            <v>Forward 4Q EPS Growth</v>
          </cell>
          <cell r="AW80">
            <v>0.13483182925825044</v>
          </cell>
          <cell r="AX80">
            <v>0.19843060516795563</v>
          </cell>
          <cell r="AZ80">
            <v>0.23219678919100906</v>
          </cell>
          <cell r="BA80">
            <v>0.2142265977908222</v>
          </cell>
          <cell r="BB80">
            <v>0.21119166567161263</v>
          </cell>
          <cell r="BC80">
            <v>0.20425724797738964</v>
          </cell>
        </row>
        <row r="81">
          <cell r="A81" t="str">
            <v>LTM R&amp;D As A % Of Sales</v>
          </cell>
          <cell r="P81" t="str">
            <v>NM</v>
          </cell>
          <cell r="Q81" t="str">
            <v>NM</v>
          </cell>
          <cell r="R81" t="str">
            <v>NM</v>
          </cell>
          <cell r="S81" t="str">
            <v>NM</v>
          </cell>
          <cell r="T81" t="str">
            <v>NM</v>
          </cell>
          <cell r="U81" t="str">
            <v>NM</v>
          </cell>
          <cell r="V81">
            <v>4.1650149316842411E-2</v>
          </cell>
          <cell r="W81">
            <v>4.2967113531629658E-2</v>
          </cell>
          <cell r="X81">
            <v>4.3670239918325679E-2</v>
          </cell>
          <cell r="Y81">
            <v>4.3223132241310434E-2</v>
          </cell>
          <cell r="Z81">
            <v>4.3223132241310434E-2</v>
          </cell>
          <cell r="AA81">
            <v>4.1965818164237188E-2</v>
          </cell>
          <cell r="AB81">
            <v>4.0340437309714913E-2</v>
          </cell>
          <cell r="AC81">
            <v>3.8646288209606985E-2</v>
          </cell>
          <cell r="AD81">
            <v>3.7082066869300913E-2</v>
          </cell>
          <cell r="AE81">
            <v>3.7082066869300913E-2</v>
          </cell>
          <cell r="AF81">
            <v>3.9789937024688936E-2</v>
          </cell>
          <cell r="AG81">
            <v>4.3106868625574717E-2</v>
          </cell>
          <cell r="AH81">
            <v>4.7187771975630975E-2</v>
          </cell>
          <cell r="AI81">
            <v>5.3943692241564575E-2</v>
          </cell>
          <cell r="AJ81">
            <v>5.3943692241564575E-2</v>
          </cell>
          <cell r="AK81">
            <v>5.3227939408511671E-2</v>
          </cell>
          <cell r="AL81">
            <v>5.1982788696360041E-2</v>
          </cell>
          <cell r="AM81">
            <v>5.2285722413449774E-2</v>
          </cell>
          <cell r="AN81">
            <v>5.23879943038668E-2</v>
          </cell>
          <cell r="AO81">
            <v>5.23879943038668E-2</v>
          </cell>
          <cell r="AP81">
            <v>5.4253531987551985E-2</v>
          </cell>
          <cell r="AQ81">
            <v>5.6722515112202929E-2</v>
          </cell>
          <cell r="AR81">
            <v>6.3502191644010442E-2</v>
          </cell>
          <cell r="AS81">
            <v>7.117265696087352E-2</v>
          </cell>
          <cell r="AT81">
            <v>7.117265696087352E-2</v>
          </cell>
          <cell r="AU81">
            <v>7.6234082129059938E-2</v>
          </cell>
          <cell r="AV81">
            <v>8.3630874626259108E-2</v>
          </cell>
          <cell r="AW81">
            <v>8.3538083538083535E-2</v>
          </cell>
          <cell r="AX81">
            <v>8.4357060849598153E-2</v>
          </cell>
          <cell r="AY81">
            <v>8.4357060849598153E-2</v>
          </cell>
          <cell r="AZ81">
            <v>8.5553135645278389E-2</v>
          </cell>
          <cell r="BA81">
            <v>8.4394606861567203E-2</v>
          </cell>
          <cell r="BB81">
            <v>8.577321662139048E-2</v>
          </cell>
          <cell r="BC81">
            <v>8.5427270260104451E-2</v>
          </cell>
          <cell r="BD81">
            <v>8.5427270260104451E-2</v>
          </cell>
          <cell r="BE81">
            <v>8.5145446122670859E-2</v>
          </cell>
          <cell r="BF81">
            <v>8.4393149113253685E-2</v>
          </cell>
          <cell r="BG81">
            <v>8.3400173513353437E-2</v>
          </cell>
          <cell r="BH81">
            <v>8.264066325580903E-2</v>
          </cell>
          <cell r="BI81">
            <v>8.264066325580903E-2</v>
          </cell>
        </row>
        <row r="83">
          <cell r="A83" t="str">
            <v>Source:  Corning Inc. financial statements; Salomon Smith Barney estimates.</v>
          </cell>
        </row>
        <row r="84">
          <cell r="A84" t="str">
            <v>Table 6C.  Corning Inc.—Quarterly Income Statement  (Percentage Of Revenues)</v>
          </cell>
        </row>
        <row r="86">
          <cell r="P86" t="str">
            <v xml:space="preserve">   Year</v>
          </cell>
          <cell r="R86" t="str">
            <v>1992</v>
          </cell>
          <cell r="U86" t="str">
            <v xml:space="preserve">   Year</v>
          </cell>
          <cell r="W86" t="str">
            <v xml:space="preserve">1993 </v>
          </cell>
          <cell r="Z86" t="str">
            <v xml:space="preserve">   Year</v>
          </cell>
          <cell r="AB86" t="str">
            <v>1994</v>
          </cell>
          <cell r="AE86" t="str">
            <v xml:space="preserve">   Year</v>
          </cell>
          <cell r="AG86" t="str">
            <v xml:space="preserve"> 1995</v>
          </cell>
          <cell r="AJ86" t="str">
            <v xml:space="preserve">   Year</v>
          </cell>
          <cell r="AL86" t="str">
            <v xml:space="preserve"> 1996</v>
          </cell>
          <cell r="AO86" t="str">
            <v xml:space="preserve">   Year</v>
          </cell>
          <cell r="AQ86" t="str">
            <v>1997</v>
          </cell>
          <cell r="AT86" t="str">
            <v xml:space="preserve">   Year</v>
          </cell>
          <cell r="AV86">
            <v>1998</v>
          </cell>
          <cell r="AY86" t="str">
            <v xml:space="preserve">   Year</v>
          </cell>
          <cell r="BA86" t="str">
            <v>Estimated 1999</v>
          </cell>
          <cell r="BD86" t="str">
            <v xml:space="preserve">   Year</v>
          </cell>
          <cell r="BF86" t="str">
            <v>Estimated 2000</v>
          </cell>
          <cell r="BI86" t="str">
            <v xml:space="preserve">   Year</v>
          </cell>
        </row>
        <row r="87">
          <cell r="P87" t="str">
            <v xml:space="preserve">   1991</v>
          </cell>
          <cell r="Q87" t="str">
            <v>1Q</v>
          </cell>
          <cell r="R87" t="str">
            <v>2Q</v>
          </cell>
          <cell r="S87" t="str">
            <v>3Q</v>
          </cell>
          <cell r="T87" t="str">
            <v>4Q</v>
          </cell>
          <cell r="U87" t="str">
            <v xml:space="preserve">   1992</v>
          </cell>
          <cell r="V87" t="str">
            <v>1Q</v>
          </cell>
          <cell r="W87" t="str">
            <v>2Q</v>
          </cell>
          <cell r="X87" t="str">
            <v>3Q</v>
          </cell>
          <cell r="Y87" t="str">
            <v>4Q</v>
          </cell>
          <cell r="Z87" t="str">
            <v xml:space="preserve">   1993</v>
          </cell>
          <cell r="AA87" t="str">
            <v>1Q</v>
          </cell>
          <cell r="AB87" t="str">
            <v>2Q</v>
          </cell>
          <cell r="AC87" t="str">
            <v>3Q</v>
          </cell>
          <cell r="AD87" t="str">
            <v>4Q</v>
          </cell>
          <cell r="AE87" t="str">
            <v xml:space="preserve">   1994</v>
          </cell>
          <cell r="AF87" t="str">
            <v>1QA</v>
          </cell>
          <cell r="AG87" t="str">
            <v>2QA</v>
          </cell>
          <cell r="AH87" t="str">
            <v>3QA</v>
          </cell>
          <cell r="AI87" t="str">
            <v>4Q</v>
          </cell>
          <cell r="AJ87" t="str">
            <v xml:space="preserve">   1995</v>
          </cell>
          <cell r="AK87" t="str">
            <v>1Q</v>
          </cell>
          <cell r="AL87" t="str">
            <v>2Q</v>
          </cell>
          <cell r="AM87" t="str">
            <v>3Q</v>
          </cell>
          <cell r="AN87" t="str">
            <v>4Q</v>
          </cell>
          <cell r="AO87" t="str">
            <v xml:space="preserve">   1996</v>
          </cell>
          <cell r="AP87" t="str">
            <v>1Q</v>
          </cell>
          <cell r="AQ87" t="str">
            <v>2Q</v>
          </cell>
          <cell r="AR87" t="str">
            <v>3Q</v>
          </cell>
          <cell r="AS87" t="str">
            <v>4Q</v>
          </cell>
          <cell r="AT87" t="str">
            <v xml:space="preserve">   1997</v>
          </cell>
          <cell r="AU87" t="str">
            <v>1Q</v>
          </cell>
          <cell r="AV87" t="str">
            <v>2Q</v>
          </cell>
          <cell r="AW87" t="str">
            <v>3Q</v>
          </cell>
          <cell r="AX87" t="str">
            <v>4Q</v>
          </cell>
          <cell r="AY87">
            <v>1998</v>
          </cell>
          <cell r="AZ87" t="str">
            <v>1QA</v>
          </cell>
          <cell r="BA87" t="str">
            <v>2QA</v>
          </cell>
          <cell r="BB87" t="str">
            <v>3QA</v>
          </cell>
          <cell r="BC87" t="str">
            <v>4Q</v>
          </cell>
          <cell r="BD87" t="str">
            <v xml:space="preserve">   1999E</v>
          </cell>
          <cell r="BE87" t="str">
            <v>1Q</v>
          </cell>
          <cell r="BF87" t="str">
            <v>2Q</v>
          </cell>
          <cell r="BG87" t="str">
            <v>3Q</v>
          </cell>
          <cell r="BH87" t="str">
            <v>4Q</v>
          </cell>
          <cell r="BI87" t="str">
            <v>2000E</v>
          </cell>
        </row>
        <row r="89">
          <cell r="A89" t="str">
            <v>Net Sales</v>
          </cell>
          <cell r="P89">
            <v>1</v>
          </cell>
          <cell r="Q89">
            <v>1</v>
          </cell>
          <cell r="R89">
            <v>1</v>
          </cell>
          <cell r="S89">
            <v>1</v>
          </cell>
          <cell r="T89">
            <v>1</v>
          </cell>
          <cell r="U89">
            <v>1</v>
          </cell>
          <cell r="V89">
            <v>1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  <cell r="AM89">
            <v>1</v>
          </cell>
          <cell r="AN89">
            <v>1</v>
          </cell>
          <cell r="AO89">
            <v>1</v>
          </cell>
          <cell r="AP89">
            <v>1</v>
          </cell>
          <cell r="AQ89">
            <v>1</v>
          </cell>
          <cell r="AR89">
            <v>1</v>
          </cell>
          <cell r="AS89">
            <v>1</v>
          </cell>
          <cell r="AT89">
            <v>1</v>
          </cell>
          <cell r="AU89">
            <v>1</v>
          </cell>
          <cell r="AV89">
            <v>1</v>
          </cell>
          <cell r="AW89">
            <v>1</v>
          </cell>
          <cell r="AX89">
            <v>1</v>
          </cell>
          <cell r="AY89">
            <v>1</v>
          </cell>
          <cell r="AZ89">
            <v>1</v>
          </cell>
          <cell r="BA89">
            <v>1</v>
          </cell>
          <cell r="BB89">
            <v>1</v>
          </cell>
          <cell r="BC89">
            <v>1</v>
          </cell>
          <cell r="BD89">
            <v>1</v>
          </cell>
          <cell r="BE89">
            <v>1</v>
          </cell>
          <cell r="BF89">
            <v>1</v>
          </cell>
          <cell r="BG89">
            <v>1</v>
          </cell>
          <cell r="BH89">
            <v>1</v>
          </cell>
          <cell r="BI89">
            <v>1</v>
          </cell>
        </row>
        <row r="91">
          <cell r="A91" t="str">
            <v>Cost Of Goods Sold</v>
          </cell>
          <cell r="P91">
            <v>0.65092660775650468</v>
          </cell>
          <cell r="Q91">
            <v>0.65839849015907259</v>
          </cell>
          <cell r="R91">
            <v>0.66047045324153764</v>
          </cell>
          <cell r="S91">
            <v>0.64519650655021832</v>
          </cell>
          <cell r="T91">
            <v>0.64053402931138326</v>
          </cell>
          <cell r="U91">
            <v>0.65017391538814151</v>
          </cell>
          <cell r="V91">
            <v>0.65128518971848226</v>
          </cell>
          <cell r="W91">
            <v>0.62681958535509485</v>
          </cell>
          <cell r="X91">
            <v>0.65859766277128551</v>
          </cell>
          <cell r="Y91">
            <v>0.65327793167128345</v>
          </cell>
          <cell r="Z91">
            <v>0.64847183379944062</v>
          </cell>
          <cell r="AA91">
            <v>0.65560122246812103</v>
          </cell>
          <cell r="AB91">
            <v>0.6295559374152121</v>
          </cell>
          <cell r="AC91">
            <v>0.63636993899057126</v>
          </cell>
          <cell r="AD91">
            <v>0.64766391833529635</v>
          </cell>
          <cell r="AE91">
            <v>0.64163085630437056</v>
          </cell>
          <cell r="AF91">
            <v>0.63296416938110756</v>
          </cell>
          <cell r="AG91">
            <v>0.62186447023586677</v>
          </cell>
          <cell r="AH91">
            <v>0.61066506890353511</v>
          </cell>
          <cell r="AI91">
            <v>0.63117826188802995</v>
          </cell>
          <cell r="AJ91">
            <v>0.62405207086058145</v>
          </cell>
          <cell r="AK91">
            <v>0.61723973256924547</v>
          </cell>
          <cell r="AL91">
            <v>0.62241435919886179</v>
          </cell>
          <cell r="AM91">
            <v>0.60558119094704466</v>
          </cell>
          <cell r="AN91">
            <v>0.62821937178062826</v>
          </cell>
          <cell r="AO91">
            <v>0.61860554277576951</v>
          </cell>
          <cell r="AP91">
            <v>0.58218088361277687</v>
          </cell>
          <cell r="AQ91">
            <v>0.56907785753727214</v>
          </cell>
          <cell r="AR91">
            <v>0.58851889225249465</v>
          </cell>
          <cell r="AS91">
            <v>0.58339798293250578</v>
          </cell>
          <cell r="AT91">
            <v>0.58072679708826203</v>
          </cell>
          <cell r="AU91">
            <v>0.64758429793658789</v>
          </cell>
          <cell r="AV91">
            <v>0.61969856291622849</v>
          </cell>
          <cell r="AW91">
            <v>0.60683949255377834</v>
          </cell>
          <cell r="AX91">
            <v>0.60282693137678045</v>
          </cell>
          <cell r="AY91">
            <v>0.6182261768082663</v>
          </cell>
          <cell r="AZ91">
            <v>0.61454830755435996</v>
          </cell>
          <cell r="BA91">
            <v>0.60950980392156873</v>
          </cell>
          <cell r="BB91">
            <v>0.6129685025514694</v>
          </cell>
          <cell r="BC91">
            <v>0.61799999999999999</v>
          </cell>
          <cell r="BD91">
            <v>0.61384385162190347</v>
          </cell>
          <cell r="BE91">
            <v>0.61499999999999999</v>
          </cell>
          <cell r="BF91">
            <v>0.61</v>
          </cell>
          <cell r="BG91">
            <v>0.61</v>
          </cell>
          <cell r="BH91">
            <v>0.61499999999999999</v>
          </cell>
          <cell r="BI91">
            <v>0.61243180015811982</v>
          </cell>
        </row>
        <row r="93">
          <cell r="A93" t="str">
            <v>Gross Income</v>
          </cell>
          <cell r="P93">
            <v>0.34907339224349537</v>
          </cell>
          <cell r="Q93">
            <v>0.34160150984092746</v>
          </cell>
          <cell r="R93">
            <v>0.33952954675846242</v>
          </cell>
          <cell r="S93">
            <v>0.35480349344978163</v>
          </cell>
          <cell r="T93">
            <v>0.35946597068861674</v>
          </cell>
          <cell r="U93">
            <v>0.34982608461185855</v>
          </cell>
          <cell r="V93">
            <v>0.34871481028151774</v>
          </cell>
          <cell r="W93">
            <v>0.37318041464490515</v>
          </cell>
          <cell r="X93">
            <v>0.34140233722871455</v>
          </cell>
          <cell r="Y93">
            <v>0.34672206832871655</v>
          </cell>
          <cell r="Z93">
            <v>0.35152816620055938</v>
          </cell>
          <cell r="AA93">
            <v>0.34439877753187897</v>
          </cell>
          <cell r="AB93">
            <v>0.3704440625847879</v>
          </cell>
          <cell r="AC93">
            <v>0.3636300610094288</v>
          </cell>
          <cell r="AD93">
            <v>0.35233608166470359</v>
          </cell>
          <cell r="AE93">
            <v>0.35836914369562944</v>
          </cell>
          <cell r="AF93">
            <v>0.3670358306188925</v>
          </cell>
          <cell r="AG93">
            <v>0.37813552976413323</v>
          </cell>
          <cell r="AH93">
            <v>0.38933493109646494</v>
          </cell>
          <cell r="AI93">
            <v>0.36882173811197</v>
          </cell>
          <cell r="AJ93">
            <v>0.3759479291394186</v>
          </cell>
          <cell r="AK93">
            <v>0.38276026743075453</v>
          </cell>
          <cell r="AL93">
            <v>0.37758564080113821</v>
          </cell>
          <cell r="AM93">
            <v>0.3944188090529554</v>
          </cell>
          <cell r="AN93">
            <v>0.3717806282193718</v>
          </cell>
          <cell r="AO93">
            <v>0.38139445722423043</v>
          </cell>
          <cell r="AP93">
            <v>0.41781911638722313</v>
          </cell>
          <cell r="AQ93">
            <v>0.43092214246272781</v>
          </cell>
          <cell r="AR93">
            <v>0.41148110774750535</v>
          </cell>
          <cell r="AS93">
            <v>0.41660201706749417</v>
          </cell>
          <cell r="AT93">
            <v>0.41927320291173792</v>
          </cell>
          <cell r="AU93">
            <v>0.35241570206341211</v>
          </cell>
          <cell r="AV93">
            <v>0.38030143708377145</v>
          </cell>
          <cell r="AW93">
            <v>0.39316050744622172</v>
          </cell>
          <cell r="AX93">
            <v>0.39717306862321961</v>
          </cell>
          <cell r="AY93">
            <v>0.38177382319173375</v>
          </cell>
          <cell r="AZ93">
            <v>0.38545169244564009</v>
          </cell>
          <cell r="BA93">
            <v>0.39049019607843133</v>
          </cell>
          <cell r="BB93">
            <v>0.3870314974485306</v>
          </cell>
          <cell r="BC93">
            <v>0.38200000000000001</v>
          </cell>
          <cell r="BD93">
            <v>0.38615614837809648</v>
          </cell>
          <cell r="BE93">
            <v>0.38500000000000001</v>
          </cell>
          <cell r="BF93">
            <v>0.39</v>
          </cell>
          <cell r="BG93">
            <v>0.39</v>
          </cell>
          <cell r="BH93">
            <v>0.38499999999999995</v>
          </cell>
          <cell r="BI93">
            <v>0.38756819984188018</v>
          </cell>
        </row>
        <row r="95">
          <cell r="A95" t="str">
            <v xml:space="preserve">Selling, General &amp;  Admin. </v>
          </cell>
          <cell r="P95">
            <v>0.1909977908689249</v>
          </cell>
          <cell r="Q95">
            <v>0.20207603127527637</v>
          </cell>
          <cell r="R95">
            <v>0.18646012621916236</v>
          </cell>
          <cell r="S95">
            <v>0.17703784570596798</v>
          </cell>
          <cell r="T95">
            <v>0.18590644448905841</v>
          </cell>
          <cell r="U95">
            <v>0.18664221964569794</v>
          </cell>
          <cell r="V95">
            <v>0.20636474908200733</v>
          </cell>
          <cell r="W95">
            <v>0.19486104984561092</v>
          </cell>
          <cell r="X95">
            <v>0.18322203672787979</v>
          </cell>
          <cell r="Y95">
            <v>0.19316712834718375</v>
          </cell>
          <cell r="Z95">
            <v>0.19326807830603276</v>
          </cell>
          <cell r="AA95">
            <v>0.19570028453999366</v>
          </cell>
          <cell r="AB95">
            <v>0.18296102016821922</v>
          </cell>
          <cell r="AC95">
            <v>0.16999445368829727</v>
          </cell>
          <cell r="AD95">
            <v>0.1872791519434629</v>
          </cell>
          <cell r="AE95">
            <v>0.18272717744471231</v>
          </cell>
          <cell r="AF95">
            <v>0.17081433224755699</v>
          </cell>
          <cell r="AG95">
            <v>0.16460751279171348</v>
          </cell>
          <cell r="AH95">
            <v>0.170760934691432</v>
          </cell>
          <cell r="AI95">
            <v>0.17650503630826891</v>
          </cell>
          <cell r="AJ95">
            <v>0.17076540480795799</v>
          </cell>
          <cell r="AK95">
            <v>0.18911174785100288</v>
          </cell>
          <cell r="AL95">
            <v>0.16241654810112729</v>
          </cell>
          <cell r="AM95">
            <v>0.17941111843550869</v>
          </cell>
          <cell r="AN95">
            <v>0.17139682860317138</v>
          </cell>
          <cell r="AO95">
            <v>0.17521086646949283</v>
          </cell>
          <cell r="AP95">
            <v>0.15763064496389673</v>
          </cell>
          <cell r="AQ95">
            <v>0.15339591385974599</v>
          </cell>
          <cell r="AR95">
            <v>0.15024105841462049</v>
          </cell>
          <cell r="AS95">
            <v>0.15504821012966863</v>
          </cell>
          <cell r="AT95">
            <v>0.15400363967242947</v>
          </cell>
          <cell r="AU95">
            <v>0.14204831404126825</v>
          </cell>
          <cell r="AV95">
            <v>0.14791447599018576</v>
          </cell>
          <cell r="AW95">
            <v>0.12421400992829564</v>
          </cell>
          <cell r="AX95">
            <v>0.14630988347000431</v>
          </cell>
          <cell r="AY95">
            <v>0.13998277841561424</v>
          </cell>
          <cell r="AZ95">
            <v>0.15332885003362476</v>
          </cell>
          <cell r="BA95">
            <v>0.13852941176470587</v>
          </cell>
          <cell r="BB95">
            <v>0.14173851838817528</v>
          </cell>
          <cell r="BC95">
            <v>0.14196358806063447</v>
          </cell>
          <cell r="BD95">
            <v>0.14348274778485082</v>
          </cell>
          <cell r="BE95">
            <v>0.14585050360174251</v>
          </cell>
          <cell r="BF95">
            <v>0.130377311674402</v>
          </cell>
          <cell r="BG95">
            <v>0.13155834084348292</v>
          </cell>
          <cell r="BH95">
            <v>0.13231012860141497</v>
          </cell>
          <cell r="BI95">
            <v>0.13471242188880417</v>
          </cell>
        </row>
        <row r="96">
          <cell r="A96" t="str">
            <v>Research &amp; Development</v>
          </cell>
          <cell r="P96">
            <v>4.0101865488463423E-2</v>
          </cell>
          <cell r="Q96">
            <v>4.2059854408196283E-2</v>
          </cell>
          <cell r="R96">
            <v>3.8209982788296036E-2</v>
          </cell>
          <cell r="S96">
            <v>4.0393013100436678E-2</v>
          </cell>
          <cell r="T96">
            <v>4.2360971692431242E-2</v>
          </cell>
          <cell r="U96">
            <v>4.0742038989403297E-2</v>
          </cell>
          <cell r="V96">
            <v>4.6144430844553247E-2</v>
          </cell>
          <cell r="W96">
            <v>4.3890604322893691E-2</v>
          </cell>
          <cell r="X96">
            <v>4.2904841402337225E-2</v>
          </cell>
          <cell r="Y96">
            <v>4.0812557710064638E-2</v>
          </cell>
          <cell r="Z96">
            <v>4.3223132241310414E-2</v>
          </cell>
          <cell r="AA96">
            <v>4.0257139846137636E-2</v>
          </cell>
          <cell r="AB96">
            <v>3.7171022881432578E-2</v>
          </cell>
          <cell r="AC96">
            <v>3.7090959511924565E-2</v>
          </cell>
          <cell r="AD96">
            <v>3.4628975265017667E-2</v>
          </cell>
          <cell r="AE96">
            <v>3.7082066869300906E-2</v>
          </cell>
          <cell r="AF96">
            <v>5.7198697068403907E-2</v>
          </cell>
          <cell r="AG96">
            <v>5.3912392362411091E-2</v>
          </cell>
          <cell r="AH96">
            <v>5.0689035350509282E-2</v>
          </cell>
          <cell r="AI96">
            <v>5.4228156476926678E-2</v>
          </cell>
          <cell r="AJ96">
            <v>5.3943692241564582E-2</v>
          </cell>
          <cell r="AK96">
            <v>5.4083094555873922E-2</v>
          </cell>
          <cell r="AL96">
            <v>4.9140855860785815E-2</v>
          </cell>
          <cell r="AM96">
            <v>5.1966600747088545E-2</v>
          </cell>
          <cell r="AN96">
            <v>5.4337945662054334E-2</v>
          </cell>
          <cell r="AO96">
            <v>5.23879943038668E-2</v>
          </cell>
          <cell r="AP96">
            <v>6.2415860971729284E-2</v>
          </cell>
          <cell r="AQ96">
            <v>5.8972943125345109E-2</v>
          </cell>
          <cell r="AR96">
            <v>7.9268976342639311E-2</v>
          </cell>
          <cell r="AS96">
            <v>8.3342568990357982E-2</v>
          </cell>
          <cell r="AT96">
            <v>7.117265696087352E-2</v>
          </cell>
          <cell r="AU96">
            <v>8.4423754403623555E-2</v>
          </cell>
          <cell r="AV96">
            <v>8.7743895314873227E-2</v>
          </cell>
          <cell r="AW96">
            <v>7.8985107556536122E-2</v>
          </cell>
          <cell r="AX96">
            <v>8.6426413465688384E-2</v>
          </cell>
          <cell r="AY96">
            <v>8.4357060849598153E-2</v>
          </cell>
          <cell r="AZ96">
            <v>8.9217664200851809E-2</v>
          </cell>
          <cell r="BA96">
            <v>8.3137254901960778E-2</v>
          </cell>
          <cell r="BB96">
            <v>8.4902340313214864E-2</v>
          </cell>
          <cell r="BC96">
            <v>8.5037158583806491E-2</v>
          </cell>
          <cell r="BD96">
            <v>8.5427270260104451E-2</v>
          </cell>
          <cell r="BE96">
            <v>8.7330215034197814E-2</v>
          </cell>
          <cell r="BF96">
            <v>8.0733071522075456E-2</v>
          </cell>
          <cell r="BG96">
            <v>8.1077910569376355E-2</v>
          </cell>
          <cell r="BH96">
            <v>8.1944898271668079E-2</v>
          </cell>
          <cell r="BI96">
            <v>8.264066325580903E-2</v>
          </cell>
        </row>
        <row r="98">
          <cell r="A98" t="str">
            <v>Operating Income</v>
          </cell>
          <cell r="P98">
            <v>0.11797373588610703</v>
          </cell>
          <cell r="Q98">
            <v>9.7465624157454786E-2</v>
          </cell>
          <cell r="R98">
            <v>0.11485943775100405</v>
          </cell>
          <cell r="S98">
            <v>0.13737263464337698</v>
          </cell>
          <cell r="T98">
            <v>0.13119855450712711</v>
          </cell>
          <cell r="U98">
            <v>0.12244182597675733</v>
          </cell>
          <cell r="V98">
            <v>9.620563035495705E-2</v>
          </cell>
          <cell r="W98">
            <v>0.13442876047640065</v>
          </cell>
          <cell r="X98">
            <v>0.11527545909849742</v>
          </cell>
          <cell r="Y98">
            <v>0.11274238227146806</v>
          </cell>
          <cell r="Z98">
            <v>0.1150369556532162</v>
          </cell>
          <cell r="AA98">
            <v>0.10844135314574768</v>
          </cell>
          <cell r="AB98">
            <v>0.15031201953513604</v>
          </cell>
          <cell r="AC98">
            <v>0.15654464780920699</v>
          </cell>
          <cell r="AD98">
            <v>0.13042795445622313</v>
          </cell>
          <cell r="AE98">
            <v>0.13855989938161636</v>
          </cell>
          <cell r="AF98">
            <v>0.13902280130293165</v>
          </cell>
          <cell r="AG98">
            <v>0.15961562461000858</v>
          </cell>
          <cell r="AH98">
            <v>0.16788496105452369</v>
          </cell>
          <cell r="AI98">
            <v>0.13808854532677453</v>
          </cell>
          <cell r="AJ98">
            <v>0.15123883208989602</v>
          </cell>
          <cell r="AK98">
            <v>0.13956542502387784</v>
          </cell>
          <cell r="AL98">
            <v>0.16602823683922516</v>
          </cell>
          <cell r="AM98">
            <v>0.16304108987035826</v>
          </cell>
          <cell r="AN98">
            <v>0.14604585395414607</v>
          </cell>
          <cell r="AO98">
            <v>0.15379559645087082</v>
          </cell>
          <cell r="AP98">
            <v>0.19777261045159714</v>
          </cell>
          <cell r="AQ98">
            <v>0.21855328547763678</v>
          </cell>
          <cell r="AR98">
            <v>0.18197107299024551</v>
          </cell>
          <cell r="AS98">
            <v>0.17821123794746754</v>
          </cell>
          <cell r="AT98">
            <v>0.1940969062784349</v>
          </cell>
          <cell r="AU98">
            <v>0.12594363361852026</v>
          </cell>
          <cell r="AV98">
            <v>0.14464306577871242</v>
          </cell>
          <cell r="AW98">
            <v>0.18996138996138989</v>
          </cell>
          <cell r="AX98">
            <v>0.16443677168752682</v>
          </cell>
          <cell r="AY98">
            <v>0.15743398392652136</v>
          </cell>
          <cell r="AZ98">
            <v>0.14290517821116352</v>
          </cell>
          <cell r="BA98">
            <v>0.16882352941176476</v>
          </cell>
          <cell r="BB98">
            <v>0.16039063874714046</v>
          </cell>
          <cell r="BC98">
            <v>0.15499925335555906</v>
          </cell>
          <cell r="BD98">
            <v>0.15724613033314125</v>
          </cell>
          <cell r="BE98">
            <v>0.15181928136405967</v>
          </cell>
          <cell r="BF98">
            <v>0.1788896168035225</v>
          </cell>
          <cell r="BG98">
            <v>0.17736374858714071</v>
          </cell>
          <cell r="BH98">
            <v>0.17074497312691689</v>
          </cell>
          <cell r="BI98">
            <v>0.17021511469726697</v>
          </cell>
        </row>
        <row r="100">
          <cell r="A100" t="str">
            <v>Royalty, Interest &amp; Dividend Inc.</v>
          </cell>
          <cell r="P100">
            <v>8.4683357879234179E-3</v>
          </cell>
          <cell r="Q100">
            <v>1.5368023726071718E-2</v>
          </cell>
          <cell r="R100">
            <v>9.1795754446356848E-3</v>
          </cell>
          <cell r="S100">
            <v>8.1877729257641921E-3</v>
          </cell>
          <cell r="T100">
            <v>6.9263200160610315E-3</v>
          </cell>
          <cell r="U100">
            <v>9.5181600021570899E-3</v>
          </cell>
          <cell r="V100">
            <v>7.8335373317013467E-3</v>
          </cell>
          <cell r="W100">
            <v>6.6166740185266875E-3</v>
          </cell>
          <cell r="X100">
            <v>7.8464106844741231E-3</v>
          </cell>
          <cell r="Y100">
            <v>7.479224376731302E-3</v>
          </cell>
          <cell r="Z100">
            <v>7.4660407510986808E-3</v>
          </cell>
          <cell r="AA100">
            <v>8.1146590789335019E-3</v>
          </cell>
          <cell r="AB100">
            <v>3.1654155738446233E-3</v>
          </cell>
          <cell r="AC100">
            <v>7.1408763172490291E-3</v>
          </cell>
          <cell r="AD100">
            <v>5.6537102473498231E-3</v>
          </cell>
          <cell r="AE100">
            <v>6.0161408657373443E-3</v>
          </cell>
          <cell r="AF100">
            <v>8.7296416938110744E-3</v>
          </cell>
          <cell r="AG100">
            <v>1.0982153999750407E-2</v>
          </cell>
          <cell r="AH100">
            <v>8.0287597363690837E-3</v>
          </cell>
          <cell r="AI100">
            <v>9.8383696416022501E-3</v>
          </cell>
          <cell r="AJ100">
            <v>9.3948604586902452E-3</v>
          </cell>
          <cell r="AK100">
            <v>9.5510983763132766E-3</v>
          </cell>
          <cell r="AL100">
            <v>7.6611579292984568E-3</v>
          </cell>
          <cell r="AM100">
            <v>9.8879367172050089E-3</v>
          </cell>
          <cell r="AN100">
            <v>8.9889910110089889E-3</v>
          </cell>
          <cell r="AO100">
            <v>9.0097491510570706E-3</v>
          </cell>
          <cell r="AP100">
            <v>1.2116020070982744E-2</v>
          </cell>
          <cell r="AQ100">
            <v>1.0049696300386527E-2</v>
          </cell>
          <cell r="AR100">
            <v>1.0539298127592781E-2</v>
          </cell>
          <cell r="AS100">
            <v>1.0085337470907681E-2</v>
          </cell>
          <cell r="AT100">
            <v>1.0663102820746131E-2</v>
          </cell>
          <cell r="AU100">
            <v>1.1449421238047307E-2</v>
          </cell>
          <cell r="AV100">
            <v>1.4020329477742727E-2</v>
          </cell>
          <cell r="AW100">
            <v>1.3017098731384447E-2</v>
          </cell>
          <cell r="AX100">
            <v>1.6724212343547692E-2</v>
          </cell>
          <cell r="AY100">
            <v>1.389207807118255E-2</v>
          </cell>
          <cell r="AZ100">
            <v>1.109616677874916E-2</v>
          </cell>
          <cell r="BA100">
            <v>1.0980392156862744E-2</v>
          </cell>
          <cell r="BB100">
            <v>7.4784444835474225E-3</v>
          </cell>
          <cell r="BC100">
            <v>7.379625288673578E-3</v>
          </cell>
          <cell r="BD100">
            <v>9.0700896534321122E-3</v>
          </cell>
          <cell r="BE100">
            <v>7.9607608079034966E-3</v>
          </cell>
          <cell r="BF100">
            <v>7.0808044745924092E-3</v>
          </cell>
          <cell r="BG100">
            <v>7.0742042411935085E-3</v>
          </cell>
          <cell r="BH100">
            <v>7.0441877755520518E-3</v>
          </cell>
          <cell r="BI100">
            <v>7.2705766483741417E-3</v>
          </cell>
        </row>
        <row r="101">
          <cell r="A101" t="str">
            <v>Interest Expense</v>
          </cell>
          <cell r="P101">
            <v>1.7826460481099659E-2</v>
          </cell>
          <cell r="Q101">
            <v>1.8873011593421408E-2</v>
          </cell>
          <cell r="R101">
            <v>1.6179001721170396E-2</v>
          </cell>
          <cell r="S101">
            <v>1.6193595342066956E-2</v>
          </cell>
          <cell r="T101">
            <v>1.676370206785786E-2</v>
          </cell>
          <cell r="U101">
            <v>1.6879229918839486E-2</v>
          </cell>
          <cell r="V101">
            <v>2.0195838433292534E-2</v>
          </cell>
          <cell r="W101">
            <v>2.0511689457432734E-2</v>
          </cell>
          <cell r="X101">
            <v>2.4040066777963272E-2</v>
          </cell>
          <cell r="Y101">
            <v>2.2437673130193906E-2</v>
          </cell>
          <cell r="Z101">
            <v>2.2023571713943268E-2</v>
          </cell>
          <cell r="AA101">
            <v>2.7189377173569399E-2</v>
          </cell>
          <cell r="AB101">
            <v>2.342407524645021E-2</v>
          </cell>
          <cell r="AC101">
            <v>2.3502495840266219E-2</v>
          </cell>
          <cell r="AD101">
            <v>1.9473890851982725E-2</v>
          </cell>
          <cell r="AE101">
            <v>2.3142228277958282E-2</v>
          </cell>
          <cell r="AF101">
            <v>2.1107491856677523E-2</v>
          </cell>
          <cell r="AG101">
            <v>2.2463496817671284E-2</v>
          </cell>
          <cell r="AH101">
            <v>2.0730976632714202E-2</v>
          </cell>
          <cell r="AI101">
            <v>2.0847973764347626E-2</v>
          </cell>
          <cell r="AJ101">
            <v>2.1276595744680847E-2</v>
          </cell>
          <cell r="AK101">
            <v>2.1131805157593123E-2</v>
          </cell>
          <cell r="AL101">
            <v>2.002845572945168E-2</v>
          </cell>
          <cell r="AM101">
            <v>1.955614150736102E-2</v>
          </cell>
          <cell r="AN101">
            <v>1.5452984547015453E-2</v>
          </cell>
          <cell r="AO101">
            <v>1.8923211742797676E-2</v>
          </cell>
          <cell r="AP101">
            <v>2.5945416717660017E-2</v>
          </cell>
          <cell r="AQ101">
            <v>2.1535063500828271E-2</v>
          </cell>
          <cell r="AR101">
            <v>1.8163471241170535E-2</v>
          </cell>
          <cell r="AS101">
            <v>1.6735010528649008E-2</v>
          </cell>
          <cell r="AT101">
            <v>2.0473157415832575E-2</v>
          </cell>
          <cell r="AU101">
            <v>2.2143935581278314E-2</v>
          </cell>
          <cell r="AV101">
            <v>1.740857576819722E-2</v>
          </cell>
          <cell r="AW101">
            <v>1.2465526751241037E-2</v>
          </cell>
          <cell r="AX101">
            <v>1.3918860595597757E-2</v>
          </cell>
          <cell r="AY101">
            <v>1.6274397244546497E-2</v>
          </cell>
          <cell r="AZ101">
            <v>1.826944631248599E-2</v>
          </cell>
          <cell r="BA101">
            <v>1.6862745098039214E-2</v>
          </cell>
          <cell r="BB101">
            <v>1.9883864156255503E-2</v>
          </cell>
          <cell r="BC101">
            <v>2.020975499644042E-2</v>
          </cell>
          <cell r="BD101">
            <v>1.8896734291604572E-2</v>
          </cell>
          <cell r="BE101">
            <v>2.2839400458825255E-2</v>
          </cell>
          <cell r="BF101">
            <v>2.031480820341942E-2</v>
          </cell>
          <cell r="BG101">
            <v>2.0295872152286024E-2</v>
          </cell>
          <cell r="BH101">
            <v>2.020975499644042E-2</v>
          </cell>
          <cell r="BI101">
            <v>2.0859264038424495E-2</v>
          </cell>
        </row>
        <row r="102">
          <cell r="A102" t="str">
            <v>Net Other Expense (Income)</v>
          </cell>
          <cell r="P102">
            <v>1.0646784486990675E-2</v>
          </cell>
          <cell r="Q102">
            <v>1.3885144243731466E-2</v>
          </cell>
          <cell r="R102">
            <v>2.983362019506598E-3</v>
          </cell>
          <cell r="S102">
            <v>3.457059679767103E-3</v>
          </cell>
          <cell r="T102">
            <v>1.7265609315398514E-2</v>
          </cell>
          <cell r="U102">
            <v>9.1406692371990197E-3</v>
          </cell>
          <cell r="V102">
            <v>3.7943696450428396E-3</v>
          </cell>
          <cell r="W102">
            <v>9.263343625937363E-3</v>
          </cell>
          <cell r="X102">
            <v>8.2637729549248744E-3</v>
          </cell>
          <cell r="Y102">
            <v>1.5235457063711912E-2</v>
          </cell>
          <cell r="Z102">
            <v>9.4636436276468224E-3</v>
          </cell>
          <cell r="AA102">
            <v>6.1123406049109494E-3</v>
          </cell>
          <cell r="AB102">
            <v>2.713213349009677E-3</v>
          </cell>
          <cell r="AC102">
            <v>1.9065446478092069E-2</v>
          </cell>
          <cell r="AD102">
            <v>9.4228504122497055E-4</v>
          </cell>
          <cell r="AE102">
            <v>7.860811235719526E-3</v>
          </cell>
          <cell r="AF102">
            <v>1.1335504885993485E-2</v>
          </cell>
          <cell r="AG102">
            <v>1.8719580681392737E-3</v>
          </cell>
          <cell r="AH102">
            <v>5.8717795086878372E-3</v>
          </cell>
          <cell r="AI102">
            <v>7.2616537830873743E-3</v>
          </cell>
          <cell r="AJ102">
            <v>6.5395597310490923E-3</v>
          </cell>
          <cell r="AK102">
            <v>8.4765998089780317E-3</v>
          </cell>
          <cell r="AL102">
            <v>4.4872496443033811E-3</v>
          </cell>
          <cell r="AM102">
            <v>9.3386068995825085E-3</v>
          </cell>
          <cell r="AN102">
            <v>1.8583981416018584E-2</v>
          </cell>
          <cell r="AO102">
            <v>1.0433782451528095E-2</v>
          </cell>
          <cell r="AP102">
            <v>8.3221147962305713E-3</v>
          </cell>
          <cell r="AQ102">
            <v>-1.9878520154610712E-3</v>
          </cell>
          <cell r="AR102">
            <v>6.0544904137235121E-3</v>
          </cell>
          <cell r="AS102">
            <v>9.4203701651335483E-3</v>
          </cell>
          <cell r="AT102">
            <v>5.3742038216560506E-3</v>
          </cell>
          <cell r="AU102">
            <v>3.4096628082536488E-2</v>
          </cell>
          <cell r="AV102">
            <v>3.0377380535109243E-3</v>
          </cell>
          <cell r="AW102">
            <v>1.1803640375068945E-2</v>
          </cell>
          <cell r="AX102">
            <v>1.6508416055243853E-2</v>
          </cell>
          <cell r="AY102">
            <v>1.5987370838117108E-2</v>
          </cell>
          <cell r="AZ102">
            <v>1.109616677874916E-2</v>
          </cell>
          <cell r="BA102">
            <v>1.0490196078431371E-2</v>
          </cell>
          <cell r="BB102">
            <v>1.0469822276966393E-2</v>
          </cell>
          <cell r="BC102">
            <v>1.0331475404143009E-2</v>
          </cell>
          <cell r="BD102">
            <v>1.0569868257542935E-2</v>
          </cell>
          <cell r="BE102">
            <v>1.0154987316300426E-2</v>
          </cell>
          <cell r="BF102">
            <v>9.7623864492839864E-3</v>
          </cell>
          <cell r="BG102">
            <v>1.0847113169830044E-2</v>
          </cell>
          <cell r="BH102">
            <v>1.0801087922513145E-2</v>
          </cell>
          <cell r="BI102">
            <v>1.0398757525657805E-2</v>
          </cell>
        </row>
        <row r="104">
          <cell r="A104" t="str">
            <v>Pretax Income</v>
          </cell>
          <cell r="P104">
            <v>9.7968826705940121E-2</v>
          </cell>
          <cell r="Q104">
            <v>8.0075492046373639E-2</v>
          </cell>
          <cell r="R104">
            <v>0.10487664945496275</v>
          </cell>
          <cell r="S104">
            <v>0.1259097525473071</v>
          </cell>
          <cell r="T104">
            <v>0.10409556313993178</v>
          </cell>
          <cell r="U104">
            <v>0.10594008682287591</v>
          </cell>
          <cell r="V104">
            <v>8.0048959608323034E-2</v>
          </cell>
          <cell r="W104">
            <v>0.11127040141155722</v>
          </cell>
          <cell r="X104">
            <v>9.0818030050083404E-2</v>
          </cell>
          <cell r="Y104">
            <v>8.2548476454293543E-2</v>
          </cell>
          <cell r="Z104">
            <v>9.1015781062724802E-2</v>
          </cell>
          <cell r="AA104">
            <v>8.3254294446200847E-2</v>
          </cell>
          <cell r="AB104">
            <v>0.12734014651352077</v>
          </cell>
          <cell r="AC104">
            <v>0.12111758180809774</v>
          </cell>
          <cell r="AD104">
            <v>0.11566548881036523</v>
          </cell>
          <cell r="AE104">
            <v>0.11357300073367592</v>
          </cell>
          <cell r="AF104">
            <v>0.11530944625407172</v>
          </cell>
          <cell r="AG104">
            <v>0.14626232372394843</v>
          </cell>
          <cell r="AH104">
            <v>0.1493109646494907</v>
          </cell>
          <cell r="AI104">
            <v>0.11981728742094179</v>
          </cell>
          <cell r="AJ104">
            <v>0.13281753707285632</v>
          </cell>
          <cell r="AK104">
            <v>0.11950811843361997</v>
          </cell>
          <cell r="AL104">
            <v>0.14917368939476855</v>
          </cell>
          <cell r="AM104">
            <v>0.14403427818061973</v>
          </cell>
          <cell r="AN104">
            <v>0.120997879002121</v>
          </cell>
          <cell r="AO104">
            <v>0.13344835140760211</v>
          </cell>
          <cell r="AP104">
            <v>0.1756210990086893</v>
          </cell>
          <cell r="AQ104">
            <v>0.2090557702926561</v>
          </cell>
          <cell r="AR104">
            <v>0.16829240946294424</v>
          </cell>
          <cell r="AS104">
            <v>0.16214119472459265</v>
          </cell>
          <cell r="AT104">
            <v>0.17891264786169242</v>
          </cell>
          <cell r="AU104">
            <v>8.1152491192752793E-2</v>
          </cell>
          <cell r="AV104">
            <v>0.13821708143474701</v>
          </cell>
          <cell r="AW104">
            <v>0.17870932156646435</v>
          </cell>
          <cell r="AX104">
            <v>0.1507337073802329</v>
          </cell>
          <cell r="AY104">
            <v>0.1390642939150403</v>
          </cell>
          <cell r="AZ104">
            <v>0.12463573189867755</v>
          </cell>
          <cell r="BA104">
            <v>0.15245098039215693</v>
          </cell>
          <cell r="BB104">
            <v>0.13751539679746599</v>
          </cell>
          <cell r="BC104">
            <v>0.13183764824364921</v>
          </cell>
          <cell r="BD104">
            <v>0.13684961743742585</v>
          </cell>
          <cell r="BE104">
            <v>0.1267856543968375</v>
          </cell>
          <cell r="BF104">
            <v>0.1558932266254115</v>
          </cell>
          <cell r="BG104">
            <v>0.15329496750621815</v>
          </cell>
          <cell r="BH104">
            <v>0.14677831798351537</v>
          </cell>
          <cell r="BI104">
            <v>0.14622766978155879</v>
          </cell>
        </row>
        <row r="105">
          <cell r="A105" t="str">
            <v>Provision For Income Taxes</v>
          </cell>
          <cell r="P105">
            <v>3.6051791850760927E-2</v>
          </cell>
          <cell r="Q105">
            <v>2.6017794553788085E-2</v>
          </cell>
          <cell r="R105">
            <v>3.8324727481353987E-2</v>
          </cell>
          <cell r="S105">
            <v>4.3668122270742356E-2</v>
          </cell>
          <cell r="T105">
            <v>2.9512146155390485E-2</v>
          </cell>
          <cell r="U105">
            <v>3.5079677515032229E-2</v>
          </cell>
          <cell r="V105">
            <v>2.7490085679314567E-2</v>
          </cell>
          <cell r="W105">
            <v>3.8266431407146015E-2</v>
          </cell>
          <cell r="X105">
            <v>2.838063439065109E-2</v>
          </cell>
          <cell r="Y105">
            <v>2.47460757156048E-2</v>
          </cell>
          <cell r="Z105">
            <v>2.9454504594486619E-2</v>
          </cell>
          <cell r="AA105">
            <v>3.1194014121614502E-2</v>
          </cell>
          <cell r="AB105">
            <v>4.8295197612372248E-2</v>
          </cell>
          <cell r="AC105">
            <v>4.2270036051026118E-2</v>
          </cell>
          <cell r="AD105">
            <v>4.1617589320769532E-2</v>
          </cell>
          <cell r="AE105">
            <v>4.1289235929147905E-2</v>
          </cell>
          <cell r="AF105">
            <v>3.7524429967426713E-2</v>
          </cell>
          <cell r="AG105">
            <v>4.5176588044427812E-2</v>
          </cell>
          <cell r="AH105">
            <v>4.2780107849011387E-2</v>
          </cell>
          <cell r="AI105">
            <v>3.267744202389318E-2</v>
          </cell>
          <cell r="AJ105">
            <v>3.9482975653188424E-2</v>
          </cell>
          <cell r="AK105">
            <v>3.9995224450811842E-2</v>
          </cell>
          <cell r="AL105">
            <v>5.0016416766991353E-2</v>
          </cell>
          <cell r="AM105">
            <v>4.8231157987255545E-2</v>
          </cell>
          <cell r="AN105">
            <v>4.0500959499040499E-2</v>
          </cell>
          <cell r="AO105">
            <v>4.4692737430167599E-2</v>
          </cell>
          <cell r="AP105">
            <v>5.9968180149308527E-2</v>
          </cell>
          <cell r="AQ105">
            <v>7.0900055218111546E-2</v>
          </cell>
          <cell r="AR105">
            <v>5.3817692566431215E-2</v>
          </cell>
          <cell r="AS105">
            <v>5.3529868114817684E-2</v>
          </cell>
          <cell r="AT105">
            <v>5.9571201091901727E-2</v>
          </cell>
          <cell r="AU105">
            <v>2.6374559637644658E-2</v>
          </cell>
          <cell r="AV105">
            <v>4.4920551466292771E-2</v>
          </cell>
          <cell r="AW105">
            <v>5.4274682846111422E-2</v>
          </cell>
          <cell r="AX105">
            <v>4.2356171773845451E-2</v>
          </cell>
          <cell r="AY105">
            <v>4.2441360505166455E-2</v>
          </cell>
          <cell r="AZ105">
            <v>3.8013898229096649E-2</v>
          </cell>
          <cell r="BA105">
            <v>4.6470588235294118E-2</v>
          </cell>
          <cell r="BB105">
            <v>4.0154495864860071E-2</v>
          </cell>
          <cell r="BC105">
            <v>3.9551294473094759E-2</v>
          </cell>
          <cell r="BD105">
            <v>4.1068121372559281E-2</v>
          </cell>
          <cell r="BE105">
            <v>3.8669624591035436E-2</v>
          </cell>
          <cell r="BF105">
            <v>4.7547434120750506E-2</v>
          </cell>
          <cell r="BG105">
            <v>4.6754965089396534E-2</v>
          </cell>
          <cell r="BH105">
            <v>4.4767386984972186E-2</v>
          </cell>
          <cell r="BI105">
            <v>4.4599439283375453E-2</v>
          </cell>
        </row>
        <row r="106">
          <cell r="A106" t="str">
            <v>Tax Rate</v>
          </cell>
          <cell r="P106">
            <v>0.36799248355778263</v>
          </cell>
          <cell r="Q106">
            <v>0.3249158249158251</v>
          </cell>
          <cell r="R106">
            <v>0.36542669584245063</v>
          </cell>
          <cell r="S106">
            <v>0.34682080924855496</v>
          </cell>
          <cell r="T106">
            <v>0.28351012536161996</v>
          </cell>
          <cell r="U106">
            <v>0.33112751336217883</v>
          </cell>
          <cell r="V106">
            <v>0.34341590214067325</v>
          </cell>
          <cell r="W106">
            <v>0.34390485629335948</v>
          </cell>
          <cell r="X106">
            <v>0.31250000000000033</v>
          </cell>
          <cell r="Y106">
            <v>0.29977628635346787</v>
          </cell>
          <cell r="Z106">
            <v>0.32361975308641955</v>
          </cell>
          <cell r="AA106">
            <v>0.37468354430379758</v>
          </cell>
          <cell r="AB106">
            <v>0.37926136363636381</v>
          </cell>
          <cell r="AC106">
            <v>0.34900000000000003</v>
          </cell>
          <cell r="AD106">
            <v>0.35980991174473831</v>
          </cell>
          <cell r="AE106">
            <v>0.36354798818752254</v>
          </cell>
          <cell r="AF106">
            <v>0.32542372881355919</v>
          </cell>
          <cell r="AG106">
            <v>0.30887372013651915</v>
          </cell>
          <cell r="AH106">
            <v>0.2865168539325843</v>
          </cell>
          <cell r="AI106">
            <v>0.27272727272727243</v>
          </cell>
          <cell r="AJ106">
            <v>0.29727230698104462</v>
          </cell>
          <cell r="AK106">
            <v>0.33466533466533432</v>
          </cell>
          <cell r="AL106">
            <v>0.33528980190755681</v>
          </cell>
          <cell r="AM106">
            <v>0.33485888634630034</v>
          </cell>
          <cell r="AN106">
            <v>0.3347245409015025</v>
          </cell>
          <cell r="AO106">
            <v>0.33490662836035306</v>
          </cell>
          <cell r="AP106">
            <v>0.34146341463414626</v>
          </cell>
          <cell r="AQ106">
            <v>0.33914421553090318</v>
          </cell>
          <cell r="AR106">
            <v>0.31978680879413729</v>
          </cell>
          <cell r="AS106">
            <v>0.33014354066985652</v>
          </cell>
          <cell r="AT106">
            <v>0.33296249205340117</v>
          </cell>
          <cell r="AU106">
            <v>0.32500000000000001</v>
          </cell>
          <cell r="AV106">
            <v>0.32500000000000001</v>
          </cell>
          <cell r="AW106">
            <v>0.30370370370370381</v>
          </cell>
          <cell r="AX106">
            <v>0.28100000000000003</v>
          </cell>
          <cell r="AY106">
            <v>0.3051923632610935</v>
          </cell>
          <cell r="AZ106">
            <v>0.30499999999999999</v>
          </cell>
          <cell r="BA106">
            <v>0.30482315112540181</v>
          </cell>
          <cell r="BB106">
            <v>0.29199999999999998</v>
          </cell>
          <cell r="BC106">
            <v>0.3</v>
          </cell>
          <cell r="BD106">
            <v>0.30009672033856855</v>
          </cell>
          <cell r="BE106">
            <v>0.30499999999999999</v>
          </cell>
          <cell r="BF106">
            <v>0.30499999999999999</v>
          </cell>
          <cell r="BG106">
            <v>0.30499999999999999</v>
          </cell>
          <cell r="BH106">
            <v>0.30499999999999999</v>
          </cell>
          <cell r="BI106">
            <v>0.3050000000000001</v>
          </cell>
        </row>
        <row r="108">
          <cell r="A108" t="str">
            <v>Income After Taxes</v>
          </cell>
          <cell r="P108">
            <v>6.1917034855179194E-2</v>
          </cell>
          <cell r="Q108">
            <v>5.4057697492585557E-2</v>
          </cell>
          <cell r="R108">
            <v>6.6551921973608763E-2</v>
          </cell>
          <cell r="S108">
            <v>8.2241630276564753E-2</v>
          </cell>
          <cell r="T108">
            <v>7.4583416984541295E-2</v>
          </cell>
          <cell r="U108">
            <v>7.086040930784368E-2</v>
          </cell>
          <cell r="V108">
            <v>5.2558873929008466E-2</v>
          </cell>
          <cell r="W108">
            <v>7.3003970004411223E-2</v>
          </cell>
          <cell r="X108">
            <v>6.24373956594323E-2</v>
          </cell>
          <cell r="Y108">
            <v>5.7802400738688746E-2</v>
          </cell>
          <cell r="Z108">
            <v>6.1561276468238176E-2</v>
          </cell>
          <cell r="AA108">
            <v>5.2060280324586351E-2</v>
          </cell>
          <cell r="AB108">
            <v>7.9044948901148521E-2</v>
          </cell>
          <cell r="AC108">
            <v>7.8847545757071633E-2</v>
          </cell>
          <cell r="AD108">
            <v>7.4047899489595698E-2</v>
          </cell>
          <cell r="AE108">
            <v>7.2283764804528014E-2</v>
          </cell>
          <cell r="AF108">
            <v>7.7785016286645012E-2</v>
          </cell>
          <cell r="AG108">
            <v>0.10108573567952063</v>
          </cell>
          <cell r="AH108">
            <v>0.10653085680047931</v>
          </cell>
          <cell r="AI108">
            <v>8.7139845397048596E-2</v>
          </cell>
          <cell r="AJ108">
            <v>9.3334561419667894E-2</v>
          </cell>
          <cell r="AK108">
            <v>7.9512893982808128E-2</v>
          </cell>
          <cell r="AL108">
            <v>9.915727262777721E-2</v>
          </cell>
          <cell r="AM108">
            <v>9.5803120193364177E-2</v>
          </cell>
          <cell r="AN108">
            <v>8.0496919503080508E-2</v>
          </cell>
          <cell r="AO108">
            <v>8.8755613977434505E-2</v>
          </cell>
          <cell r="AP108">
            <v>0.11565291885938077</v>
          </cell>
          <cell r="AQ108">
            <v>0.13815571507454455</v>
          </cell>
          <cell r="AR108">
            <v>0.11447471689651302</v>
          </cell>
          <cell r="AS108">
            <v>0.10861132660977497</v>
          </cell>
          <cell r="AT108">
            <v>0.11934144676979069</v>
          </cell>
          <cell r="AU108">
            <v>5.4777931555108128E-2</v>
          </cell>
          <cell r="AV108">
            <v>9.3296529968454223E-2</v>
          </cell>
          <cell r="AW108">
            <v>0.12443463872035294</v>
          </cell>
          <cell r="AX108">
            <v>0.10837753560638745</v>
          </cell>
          <cell r="AY108">
            <v>9.6622933409873851E-2</v>
          </cell>
          <cell r="AZ108">
            <v>8.66218336695809E-2</v>
          </cell>
          <cell r="BA108">
            <v>0.10598039215686279</v>
          </cell>
          <cell r="BB108">
            <v>9.7360900932605937E-2</v>
          </cell>
          <cell r="BC108">
            <v>9.2286353770554455E-2</v>
          </cell>
          <cell r="BD108">
            <v>9.5781496064866564E-2</v>
          </cell>
          <cell r="BE108">
            <v>8.8116029805802062E-2</v>
          </cell>
          <cell r="BF108">
            <v>0.108345792504661</v>
          </cell>
          <cell r="BG108">
            <v>0.10654000241682161</v>
          </cell>
          <cell r="BH108">
            <v>0.10201093099854319</v>
          </cell>
          <cell r="BI108">
            <v>0.10162823049818334</v>
          </cell>
        </row>
        <row r="109">
          <cell r="A109" t="str">
            <v>Equity In Earnings Of Assoc. Cos.</v>
          </cell>
          <cell r="P109">
            <v>3.6788168875797743E-2</v>
          </cell>
          <cell r="Q109">
            <v>1.9547047721757888E-2</v>
          </cell>
          <cell r="R109">
            <v>2.9948364888123927E-2</v>
          </cell>
          <cell r="S109">
            <v>2.5226528384279474E-2</v>
          </cell>
          <cell r="T109">
            <v>1.8871712507528608E-2</v>
          </cell>
          <cell r="U109">
            <v>2.3493137757165581E-2</v>
          </cell>
          <cell r="V109">
            <v>8.8127294981640153E-3</v>
          </cell>
          <cell r="W109">
            <v>3.0216144684605206E-2</v>
          </cell>
          <cell r="X109">
            <v>2.6126878130217027E-2</v>
          </cell>
          <cell r="Y109">
            <v>2.4653739612188356E-2</v>
          </cell>
          <cell r="Z109">
            <v>2.312225329604474E-2</v>
          </cell>
          <cell r="AA109">
            <v>4.4261776794182733E-3</v>
          </cell>
          <cell r="AB109">
            <v>1.0310210726236771E-2</v>
          </cell>
          <cell r="AC109">
            <v>1.3172490293954522E-2</v>
          </cell>
          <cell r="AD109">
            <v>1.3270514330585004E-2</v>
          </cell>
          <cell r="AE109">
            <v>1.0795514097054816E-2</v>
          </cell>
          <cell r="AF109">
            <v>1.8762214983713357E-2</v>
          </cell>
          <cell r="AG109">
            <v>2.5708224135779362E-2</v>
          </cell>
          <cell r="AH109">
            <v>2.037147992810066E-2</v>
          </cell>
          <cell r="AI109">
            <v>1.7217146872803936E-2</v>
          </cell>
          <cell r="AJ109">
            <v>2.0478339627275795E-2</v>
          </cell>
          <cell r="AK109">
            <v>1.3849092645654249E-2</v>
          </cell>
          <cell r="AL109">
            <v>2.4625150487030754E-2</v>
          </cell>
          <cell r="AM109">
            <v>2.6807295099978024E-2</v>
          </cell>
          <cell r="AN109">
            <v>2.6865973134026867E-2</v>
          </cell>
          <cell r="AO109">
            <v>2.3304852667323912E-2</v>
          </cell>
          <cell r="AP109">
            <v>8.3221147962305713E-3</v>
          </cell>
          <cell r="AQ109">
            <v>2.6725565985643289E-2</v>
          </cell>
          <cell r="AR109">
            <v>3.4757259782486824E-2</v>
          </cell>
          <cell r="AS109">
            <v>1.9062396098858472E-2</v>
          </cell>
          <cell r="AT109">
            <v>2.2520473157415833E-2</v>
          </cell>
          <cell r="AU109">
            <v>3.4599899345747358E-2</v>
          </cell>
          <cell r="AV109">
            <v>3.8205397826848939E-2</v>
          </cell>
          <cell r="AW109">
            <v>1.6878102592388308E-2</v>
          </cell>
          <cell r="AX109">
            <v>2.1363832542080279E-2</v>
          </cell>
          <cell r="AY109">
            <v>2.735361653272101E-2</v>
          </cell>
          <cell r="AZ109">
            <v>2.4209818426361801E-2</v>
          </cell>
          <cell r="BA109">
            <v>3.0490196078431373E-2</v>
          </cell>
          <cell r="BB109">
            <v>2.8330107337673768E-2</v>
          </cell>
          <cell r="BC109">
            <v>2.4309353892101197E-2</v>
          </cell>
          <cell r="BD109">
            <v>2.6876984826049489E-2</v>
          </cell>
          <cell r="BE109">
            <v>2.1193017007931331E-2</v>
          </cell>
          <cell r="BF109">
            <v>2.7141100400650566E-2</v>
          </cell>
          <cell r="BG109">
            <v>2.8074881145442477E-2</v>
          </cell>
          <cell r="BH109">
            <v>2.4309353892101201E-2</v>
          </cell>
          <cell r="BI109">
            <v>2.52922384863189E-2</v>
          </cell>
        </row>
        <row r="110">
          <cell r="A110" t="str">
            <v>Minority Int. In Earnings Of Subs.</v>
          </cell>
          <cell r="P110">
            <v>-5.3080510554737361E-3</v>
          </cell>
          <cell r="Q110">
            <v>-4.1790239956861694E-3</v>
          </cell>
          <cell r="R110">
            <v>-1.0327022375215148E-3</v>
          </cell>
          <cell r="S110">
            <v>-1.155385735080058E-2</v>
          </cell>
          <cell r="T110">
            <v>-1.3250351335073279E-2</v>
          </cell>
          <cell r="U110">
            <v>-8.0621241944616711E-3</v>
          </cell>
          <cell r="V110">
            <v>-3.7943696450428396E-3</v>
          </cell>
          <cell r="W110">
            <v>-4.1905602117335685E-3</v>
          </cell>
          <cell r="X110">
            <v>-8.3472454090150246E-3</v>
          </cell>
          <cell r="Y110">
            <v>-6.555863342566943E-3</v>
          </cell>
          <cell r="Z110">
            <v>-5.9928086296444274E-3</v>
          </cell>
          <cell r="AA110">
            <v>-8.3254294446200878E-3</v>
          </cell>
          <cell r="AB110">
            <v>-9.0440444966989227E-3</v>
          </cell>
          <cell r="AC110">
            <v>-1.4628397115917915E-2</v>
          </cell>
          <cell r="AD110">
            <v>-9.1872791519434626E-3</v>
          </cell>
          <cell r="AE110">
            <v>-1.0627816790692799E-2</v>
          </cell>
          <cell r="AF110">
            <v>-1.8501628664495114E-2</v>
          </cell>
          <cell r="AG110">
            <v>-2.2338699613128666E-2</v>
          </cell>
          <cell r="AH110">
            <v>-2.1809466746554821E-2</v>
          </cell>
          <cell r="AI110">
            <v>-1.651440618411806E-2</v>
          </cell>
          <cell r="AJ110">
            <v>-1.9772189984955939E-2</v>
          </cell>
          <cell r="AK110">
            <v>-1.4565425023877745E-2</v>
          </cell>
          <cell r="AL110">
            <v>-1.7292327897559374E-2</v>
          </cell>
          <cell r="AM110">
            <v>-1.4282575258185014E-2</v>
          </cell>
          <cell r="AN110">
            <v>-1.1715988284011715E-2</v>
          </cell>
          <cell r="AO110">
            <v>-1.4404644539379998E-2</v>
          </cell>
          <cell r="AP110">
            <v>-1.5298005140129727E-2</v>
          </cell>
          <cell r="AQ110">
            <v>-2.2970734400883489E-2</v>
          </cell>
          <cell r="AR110">
            <v>-2.5675524161901556E-2</v>
          </cell>
          <cell r="AS110">
            <v>-2.227640474343345E-2</v>
          </cell>
          <cell r="AT110">
            <v>-2.1695859872611464E-2</v>
          </cell>
          <cell r="AU110">
            <v>-6.9199798691494717E-3</v>
          </cell>
          <cell r="AV110">
            <v>-1.9161116952915062E-2</v>
          </cell>
          <cell r="AW110">
            <v>-2.2393822393822396E-2</v>
          </cell>
          <cell r="AX110">
            <v>-2.4061286145878293E-2</v>
          </cell>
          <cell r="AY110">
            <v>-1.8513203214695753E-2</v>
          </cell>
          <cell r="AZ110">
            <v>-1.1320331764178434E-2</v>
          </cell>
          <cell r="BA110">
            <v>-1.7058823529411762E-2</v>
          </cell>
          <cell r="BB110">
            <v>-8.0063346823860647E-3</v>
          </cell>
          <cell r="BC110">
            <v>-1.5193346182563249E-2</v>
          </cell>
          <cell r="BD110">
            <v>-1.2879051187681819E-2</v>
          </cell>
          <cell r="BE110">
            <v>-1.0360138575215585E-2</v>
          </cell>
          <cell r="BF110">
            <v>-1.5875282637153397E-2</v>
          </cell>
          <cell r="BG110">
            <v>-8.2948512475170908E-3</v>
          </cell>
          <cell r="BH110">
            <v>-1.5883952827225215E-2</v>
          </cell>
          <cell r="BI110">
            <v>-1.2670558156263226E-2</v>
          </cell>
        </row>
        <row r="111">
          <cell r="A111" t="str">
            <v>Inc. Before Extraordinary Credits</v>
          </cell>
          <cell r="P111">
            <v>9.3397152675503192E-2</v>
          </cell>
          <cell r="Q111">
            <v>6.9425721218657283E-2</v>
          </cell>
          <cell r="R111">
            <v>9.5467584624211163E-2</v>
          </cell>
          <cell r="S111">
            <v>9.5914301310043637E-2</v>
          </cell>
          <cell r="T111">
            <v>8.0204778156996615E-2</v>
          </cell>
          <cell r="U111">
            <v>8.629142287054764E-2</v>
          </cell>
          <cell r="V111">
            <v>5.7577233782129644E-2</v>
          </cell>
          <cell r="W111">
            <v>9.9029554477282844E-2</v>
          </cell>
          <cell r="X111">
            <v>8.0217028380634298E-2</v>
          </cell>
          <cell r="Y111">
            <v>7.590027700831016E-2</v>
          </cell>
          <cell r="Z111">
            <v>7.8690721134638375E-2</v>
          </cell>
          <cell r="AA111">
            <v>4.8161028559384533E-2</v>
          </cell>
          <cell r="AB111">
            <v>8.0311115130686367E-2</v>
          </cell>
          <cell r="AC111">
            <v>7.739163893510824E-2</v>
          </cell>
          <cell r="AD111">
            <v>7.8131134668237248E-2</v>
          </cell>
          <cell r="AE111">
            <v>7.2451462110890041E-2</v>
          </cell>
          <cell r="AF111">
            <v>7.8045602605863254E-2</v>
          </cell>
          <cell r="AG111">
            <v>0.10445526020217132</v>
          </cell>
          <cell r="AH111">
            <v>0.10509286998202515</v>
          </cell>
          <cell r="AI111">
            <v>8.7842586085734489E-2</v>
          </cell>
          <cell r="AJ111">
            <v>9.4040711061987761E-2</v>
          </cell>
          <cell r="AK111">
            <v>7.8796561604584633E-2</v>
          </cell>
          <cell r="AL111">
            <v>0.10649009521724859</v>
          </cell>
          <cell r="AM111">
            <v>0.10832784003515719</v>
          </cell>
          <cell r="AN111">
            <v>9.5646904353095669E-2</v>
          </cell>
          <cell r="AO111">
            <v>9.7655822105378404E-2</v>
          </cell>
          <cell r="AP111">
            <v>0.10867702851548161</v>
          </cell>
          <cell r="AQ111">
            <v>0.14191054665930436</v>
          </cell>
          <cell r="AR111">
            <v>0.12355645251709829</v>
          </cell>
          <cell r="AS111">
            <v>0.10539731796520001</v>
          </cell>
          <cell r="AT111">
            <v>0.12016606005459506</v>
          </cell>
          <cell r="AU111">
            <v>8.2457851031706011E-2</v>
          </cell>
          <cell r="AV111">
            <v>0.11234081084238809</v>
          </cell>
          <cell r="AW111">
            <v>0.11891891891891886</v>
          </cell>
          <cell r="AX111">
            <v>0.10568008200258944</v>
          </cell>
          <cell r="AY111">
            <v>0.10546334672789912</v>
          </cell>
          <cell r="AZ111">
            <v>9.9511320331764255E-2</v>
          </cell>
          <cell r="BA111">
            <v>0.1194117647058824</v>
          </cell>
          <cell r="BB111">
            <v>0.11768467358789365</v>
          </cell>
          <cell r="BC111">
            <v>0.10140236148009241</v>
          </cell>
          <cell r="BD111">
            <v>0.10977942970323423</v>
          </cell>
          <cell r="BE111">
            <v>9.8948908238517819E-2</v>
          </cell>
          <cell r="BF111">
            <v>0.11961161026815818</v>
          </cell>
          <cell r="BG111">
            <v>0.126320032314747</v>
          </cell>
          <cell r="BH111">
            <v>0.11043633206341918</v>
          </cell>
          <cell r="BI111">
            <v>0.11424991082823902</v>
          </cell>
        </row>
        <row r="112">
          <cell r="A112" t="str">
            <v>Extraordinary Credits</v>
          </cell>
          <cell r="P112">
            <v>3.6818851251840946E-3</v>
          </cell>
          <cell r="Q112">
            <v>2.9657589646805076E-2</v>
          </cell>
          <cell r="R112">
            <v>3.4423407917383818E-4</v>
          </cell>
          <cell r="S112">
            <v>-4.6661208151382817E-3</v>
          </cell>
          <cell r="T112">
            <v>1.2352941176470589E-2</v>
          </cell>
          <cell r="U112">
            <v>7.9480680561921976E-3</v>
          </cell>
          <cell r="V112">
            <v>3.377478580171359E-3</v>
          </cell>
          <cell r="W112">
            <v>0</v>
          </cell>
          <cell r="X112">
            <v>-0.11469115191986645</v>
          </cell>
          <cell r="Y112">
            <v>0</v>
          </cell>
          <cell r="Z112">
            <v>-3.3619806232520977E-2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</row>
        <row r="114">
          <cell r="A114" t="str">
            <v>Net Income</v>
          </cell>
          <cell r="P114">
            <v>9.7079037800687287E-2</v>
          </cell>
          <cell r="Q114">
            <v>9.9083310865462362E-2</v>
          </cell>
          <cell r="R114">
            <v>9.5811818703384996E-2</v>
          </cell>
          <cell r="S114">
            <v>9.1248180494905351E-2</v>
          </cell>
          <cell r="T114">
            <v>9.2557719333467209E-2</v>
          </cell>
          <cell r="U114">
            <v>9.4239490926739819E-2</v>
          </cell>
          <cell r="V114">
            <v>6.0954712362301003E-2</v>
          </cell>
          <cell r="W114">
            <v>9.9029554477282844E-2</v>
          </cell>
          <cell r="X114">
            <v>-3.4474123539232147E-2</v>
          </cell>
          <cell r="Y114">
            <v>7.590027700831016E-2</v>
          </cell>
          <cell r="Z114">
            <v>4.5070914902117398E-2</v>
          </cell>
          <cell r="AA114">
            <v>4.8161028559384533E-2</v>
          </cell>
          <cell r="AB114">
            <v>8.0311115130686367E-2</v>
          </cell>
          <cell r="AC114">
            <v>7.739163893510824E-2</v>
          </cell>
          <cell r="AD114">
            <v>7.8131134668237248E-2</v>
          </cell>
          <cell r="AE114">
            <v>7.2451462110890041E-2</v>
          </cell>
          <cell r="AF114">
            <v>7.8045602605863254E-2</v>
          </cell>
          <cell r="AG114">
            <v>0.10445526020217132</v>
          </cell>
          <cell r="AH114">
            <v>0.10509286998202515</v>
          </cell>
          <cell r="AI114">
            <v>8.7842586085734489E-2</v>
          </cell>
          <cell r="AJ114">
            <v>9.4040711061987761E-2</v>
          </cell>
          <cell r="AK114">
            <v>7.8796561604584633E-2</v>
          </cell>
          <cell r="AL114">
            <v>0.10649009521724859</v>
          </cell>
          <cell r="AM114">
            <v>0.10832784003515719</v>
          </cell>
          <cell r="AN114">
            <v>9.5646904353095669E-2</v>
          </cell>
          <cell r="AO114">
            <v>9.7655822105378404E-2</v>
          </cell>
          <cell r="AP114">
            <v>0.10867702851548161</v>
          </cell>
          <cell r="AQ114">
            <v>0.14191054665930436</v>
          </cell>
          <cell r="AR114">
            <v>0.12355645251709829</v>
          </cell>
          <cell r="AS114">
            <v>0.10539731796520001</v>
          </cell>
          <cell r="AT114">
            <v>0.12016606005459506</v>
          </cell>
          <cell r="AU114">
            <v>8.2457851031706011E-2</v>
          </cell>
          <cell r="AV114">
            <v>0.11234081084238809</v>
          </cell>
          <cell r="AW114">
            <v>0.11891891891891886</v>
          </cell>
          <cell r="AX114">
            <v>0.10568008200258944</v>
          </cell>
          <cell r="AY114">
            <v>0.10546334672789912</v>
          </cell>
          <cell r="AZ114">
            <v>9.9511320331764255E-2</v>
          </cell>
          <cell r="BA114">
            <v>0.1194117647058824</v>
          </cell>
          <cell r="BB114">
            <v>0.11768467358789365</v>
          </cell>
          <cell r="BC114">
            <v>0.10140236148009241</v>
          </cell>
          <cell r="BD114">
            <v>0.10977942970323423</v>
          </cell>
          <cell r="BE114">
            <v>9.8948908238517819E-2</v>
          </cell>
          <cell r="BF114">
            <v>0.11961161026815818</v>
          </cell>
          <cell r="BG114">
            <v>0.126320032314747</v>
          </cell>
          <cell r="BH114">
            <v>0.11043633206341918</v>
          </cell>
          <cell r="BI114">
            <v>0.11424991082823902</v>
          </cell>
        </row>
        <row r="116">
          <cell r="A116" t="str">
            <v>Source:  Corning Inc. financial statements; Salomon Smith Barney estimates.</v>
          </cell>
        </row>
        <row r="117">
          <cell r="A117" t="str">
            <v>Corning Inc.—Quarterly Income Statement  (Year-To-Year Percentage Change)</v>
          </cell>
        </row>
        <row r="119">
          <cell r="P119" t="str">
            <v xml:space="preserve">   Year</v>
          </cell>
          <cell r="R119" t="str">
            <v>1992</v>
          </cell>
          <cell r="U119" t="str">
            <v xml:space="preserve">   Year</v>
          </cell>
          <cell r="W119" t="str">
            <v xml:space="preserve">1993 </v>
          </cell>
          <cell r="Z119" t="str">
            <v xml:space="preserve">   Year</v>
          </cell>
          <cell r="AB119" t="str">
            <v>1994</v>
          </cell>
          <cell r="AE119" t="str">
            <v xml:space="preserve">   Year</v>
          </cell>
          <cell r="AG119" t="str">
            <v xml:space="preserve"> 1995</v>
          </cell>
          <cell r="AJ119" t="str">
            <v xml:space="preserve">   Year</v>
          </cell>
          <cell r="AL119" t="str">
            <v xml:space="preserve"> 1996</v>
          </cell>
          <cell r="AO119" t="str">
            <v xml:space="preserve">   Year</v>
          </cell>
          <cell r="AQ119" t="str">
            <v>1997</v>
          </cell>
          <cell r="AT119" t="str">
            <v xml:space="preserve">   Year</v>
          </cell>
          <cell r="AV119">
            <v>1998</v>
          </cell>
          <cell r="AY119" t="str">
            <v xml:space="preserve">   Year</v>
          </cell>
          <cell r="BA119" t="str">
            <v>Estimated 1999</v>
          </cell>
          <cell r="BD119" t="str">
            <v xml:space="preserve">   Year</v>
          </cell>
          <cell r="BF119" t="str">
            <v>Estimated 2000</v>
          </cell>
          <cell r="BI119" t="str">
            <v xml:space="preserve">   Year</v>
          </cell>
        </row>
        <row r="120">
          <cell r="P120" t="str">
            <v xml:space="preserve">   1991</v>
          </cell>
          <cell r="Q120" t="str">
            <v>1Q</v>
          </cell>
          <cell r="R120" t="str">
            <v>2Q</v>
          </cell>
          <cell r="S120" t="str">
            <v>3Q</v>
          </cell>
          <cell r="T120" t="str">
            <v>4Q</v>
          </cell>
          <cell r="U120" t="str">
            <v xml:space="preserve">   1992</v>
          </cell>
          <cell r="V120" t="str">
            <v>1Q</v>
          </cell>
          <cell r="W120" t="str">
            <v>2Q</v>
          </cell>
          <cell r="X120" t="str">
            <v>3Q</v>
          </cell>
          <cell r="Y120" t="str">
            <v>4Q</v>
          </cell>
          <cell r="Z120" t="str">
            <v xml:space="preserve">   1993</v>
          </cell>
          <cell r="AA120" t="str">
            <v>1Q</v>
          </cell>
          <cell r="AB120" t="str">
            <v>2Q</v>
          </cell>
          <cell r="AC120" t="str">
            <v>3Q</v>
          </cell>
          <cell r="AD120" t="str">
            <v>4Q</v>
          </cell>
          <cell r="AE120" t="str">
            <v xml:space="preserve">   1994</v>
          </cell>
          <cell r="AF120" t="str">
            <v>1QA</v>
          </cell>
          <cell r="AG120" t="str">
            <v>2QA</v>
          </cell>
          <cell r="AH120" t="str">
            <v>3QA</v>
          </cell>
          <cell r="AI120" t="str">
            <v>4Q</v>
          </cell>
          <cell r="AJ120" t="str">
            <v xml:space="preserve">   1995</v>
          </cell>
          <cell r="AK120" t="str">
            <v>1Q</v>
          </cell>
          <cell r="AL120" t="str">
            <v>2Q</v>
          </cell>
          <cell r="AM120" t="str">
            <v>3Q</v>
          </cell>
          <cell r="AN120" t="str">
            <v>4Q</v>
          </cell>
          <cell r="AO120" t="str">
            <v xml:space="preserve">   1996</v>
          </cell>
          <cell r="AP120" t="str">
            <v>1Q</v>
          </cell>
          <cell r="AQ120" t="str">
            <v>2Q</v>
          </cell>
          <cell r="AR120" t="str">
            <v>3Q</v>
          </cell>
          <cell r="AS120" t="str">
            <v>4Q</v>
          </cell>
          <cell r="AT120" t="str">
            <v xml:space="preserve">   1997</v>
          </cell>
          <cell r="AU120" t="str">
            <v>1Q</v>
          </cell>
          <cell r="AV120" t="str">
            <v>2Q</v>
          </cell>
          <cell r="AW120" t="str">
            <v>3Q</v>
          </cell>
          <cell r="AX120" t="str">
            <v>4Q</v>
          </cell>
          <cell r="AY120">
            <v>1998</v>
          </cell>
          <cell r="AZ120" t="str">
            <v>1QA</v>
          </cell>
          <cell r="BA120" t="str">
            <v>2QA</v>
          </cell>
          <cell r="BB120" t="str">
            <v>3QA</v>
          </cell>
          <cell r="BC120" t="str">
            <v>4Q</v>
          </cell>
          <cell r="BD120" t="str">
            <v xml:space="preserve">   1999E</v>
          </cell>
          <cell r="BE120" t="str">
            <v>1Q</v>
          </cell>
          <cell r="BF120" t="str">
            <v>2Q</v>
          </cell>
          <cell r="BG120" t="str">
            <v>3Q</v>
          </cell>
          <cell r="BH120" t="str">
            <v>4Q</v>
          </cell>
          <cell r="BI120" t="str">
            <v>2000E</v>
          </cell>
        </row>
        <row r="122">
          <cell r="A122" t="str">
            <v>Net Sales</v>
          </cell>
          <cell r="U122">
            <v>0.13791728031418748</v>
          </cell>
          <cell r="V122">
            <v>0.10137503370180645</v>
          </cell>
          <cell r="W122">
            <v>4.0504876649454902E-2</v>
          </cell>
          <cell r="X122">
            <v>8.9883551673944684E-2</v>
          </cell>
          <cell r="Y122">
            <v>8.7131098173057531E-2</v>
          </cell>
          <cell r="Z122">
            <v>7.983929678863233E-2</v>
          </cell>
          <cell r="AA122">
            <v>0.16144430844553237</v>
          </cell>
          <cell r="AB122">
            <v>0.21934274371415974</v>
          </cell>
          <cell r="AC122">
            <v>0.2040066777963272</v>
          </cell>
          <cell r="AD122">
            <v>0.17590027700831024</v>
          </cell>
          <cell r="AE122">
            <v>0.19119556532161397</v>
          </cell>
          <cell r="AF122">
            <v>-0.19116872167773213</v>
          </cell>
          <cell r="AG122">
            <v>-0.27530071447951532</v>
          </cell>
          <cell r="AH122">
            <v>-0.42145036051026075</v>
          </cell>
          <cell r="AI122">
            <v>-0.32956419316843344</v>
          </cell>
          <cell r="AJ122">
            <v>-0.3172413793103448</v>
          </cell>
          <cell r="AK122">
            <v>9.1335504885993624E-2</v>
          </cell>
          <cell r="AL122">
            <v>0.14027205790590314</v>
          </cell>
          <cell r="AM122">
            <v>9.0713001797483539E-2</v>
          </cell>
          <cell r="AN122">
            <v>0.15963925977980797</v>
          </cell>
          <cell r="AO122">
            <v>0.12112001473703593</v>
          </cell>
          <cell r="AP122">
            <v>-2.4474689589302767E-2</v>
          </cell>
          <cell r="AQ122">
            <v>-8.9744992886068298E-3</v>
          </cell>
          <cell r="AR122">
            <v>-2.0105471324983637E-2</v>
          </cell>
          <cell r="AS122">
            <v>-8.8677911322088798E-2</v>
          </cell>
          <cell r="AT122">
            <v>-3.6915324789133508E-2</v>
          </cell>
          <cell r="AU122">
            <v>-2.7291641169991498E-2</v>
          </cell>
          <cell r="AV122">
            <v>-5.4776366648260688E-2</v>
          </cell>
          <cell r="AW122">
            <v>1.6369548155622748E-2</v>
          </cell>
          <cell r="AX122">
            <v>2.7152831652443865E-2</v>
          </cell>
          <cell r="AY122">
            <v>-9.3266606005459884E-3</v>
          </cell>
          <cell r="AZ122">
            <v>0.12254655259184721</v>
          </cell>
          <cell r="BA122">
            <v>0.19172800560813186</v>
          </cell>
          <cell r="BB122">
            <v>0.25383342526199648</v>
          </cell>
          <cell r="BC122">
            <v>0.24279240397065172</v>
          </cell>
          <cell r="BD122">
            <v>0.20568886337543058</v>
          </cell>
          <cell r="BE122">
            <v>0.25658372562205778</v>
          </cell>
          <cell r="BF122">
            <v>0.23573529411764693</v>
          </cell>
          <cell r="BG122">
            <v>0.1100000000000001</v>
          </cell>
          <cell r="BH122">
            <v>0.10000000000000009</v>
          </cell>
          <cell r="BI122">
            <v>0.16892315896224819</v>
          </cell>
        </row>
        <row r="124">
          <cell r="A124" t="str">
            <v>Cost Of Goods Sold</v>
          </cell>
          <cell r="U124">
            <v>0.13660146123026173</v>
          </cell>
          <cell r="V124">
            <v>8.947583947583948E-2</v>
          </cell>
          <cell r="W124">
            <v>-1.250868658790838E-2</v>
          </cell>
          <cell r="X124">
            <v>0.11252115059221657</v>
          </cell>
          <cell r="Y124">
            <v>0.10876038238520613</v>
          </cell>
          <cell r="Z124">
            <v>7.7012399950234123E-2</v>
          </cell>
          <cell r="AA124">
            <v>0.16914113888366855</v>
          </cell>
          <cell r="AB124">
            <v>0.22466572836030974</v>
          </cell>
          <cell r="AC124">
            <v>0.16337135614702158</v>
          </cell>
          <cell r="AD124">
            <v>0.16579505300353348</v>
          </cell>
          <cell r="AE124">
            <v>0.17862918752406598</v>
          </cell>
          <cell r="AF124">
            <v>-0.21909660826233723</v>
          </cell>
          <cell r="AG124">
            <v>-0.28415457549202705</v>
          </cell>
          <cell r="AH124">
            <v>-0.4448196971347641</v>
          </cell>
          <cell r="AI124">
            <v>-0.34662948593598453</v>
          </cell>
          <cell r="AJ124">
            <v>-0.33594694370936651</v>
          </cell>
          <cell r="AK124">
            <v>6.4223960477562736E-2</v>
          </cell>
          <cell r="AL124">
            <v>0.14128035320088306</v>
          </cell>
          <cell r="AM124">
            <v>8.163265306122458E-2</v>
          </cell>
          <cell r="AN124">
            <v>0.15420300612358506</v>
          </cell>
          <cell r="AO124">
            <v>0.11133523565876224</v>
          </cell>
          <cell r="AP124">
            <v>-7.988394584139269E-2</v>
          </cell>
          <cell r="AQ124">
            <v>-9.3898364691401559E-2</v>
          </cell>
          <cell r="AR124">
            <v>-4.7714078374455848E-2</v>
          </cell>
          <cell r="AS124">
            <v>-0.15369774919614154</v>
          </cell>
          <cell r="AT124">
            <v>-9.5887378812696378E-2</v>
          </cell>
          <cell r="AU124">
            <v>8.1984443977296761E-2</v>
          </cell>
          <cell r="AV124">
            <v>2.9303318455268901E-2</v>
          </cell>
          <cell r="AW124">
            <v>4.8009144598971432E-2</v>
          </cell>
          <cell r="AX124">
            <v>6.1360182370820748E-2</v>
          </cell>
          <cell r="AY124">
            <v>5.4644273613082994E-2</v>
          </cell>
          <cell r="AZ124">
            <v>6.5280746065669248E-2</v>
          </cell>
          <cell r="BA124">
            <v>0.17213423831070895</v>
          </cell>
          <cell r="BB124">
            <v>0.26649700054535552</v>
          </cell>
          <cell r="BC124">
            <v>0.27407331304814742</v>
          </cell>
          <cell r="BD124">
            <v>0.1971422814429642</v>
          </cell>
          <cell r="BE124">
            <v>0.2575073135144994</v>
          </cell>
          <cell r="BF124">
            <v>0.2367291298053722</v>
          </cell>
          <cell r="BG124">
            <v>0.10462445815989652</v>
          </cell>
          <cell r="BH124">
            <v>9.4660194174757351E-2</v>
          </cell>
          <cell r="BI124">
            <v>0.16623423464818687</v>
          </cell>
        </row>
        <row r="126">
          <cell r="A126" t="str">
            <v>Gross Income</v>
          </cell>
          <cell r="U126">
            <v>0.14037092379361837</v>
          </cell>
          <cell r="V126">
            <v>0.12430939226519344</v>
          </cell>
          <cell r="W126">
            <v>0.14362960459614738</v>
          </cell>
          <cell r="X126">
            <v>4.8717948717948767E-2</v>
          </cell>
          <cell r="Y126">
            <v>4.8589779391231325E-2</v>
          </cell>
          <cell r="Z126">
            <v>8.5093263449977252E-2</v>
          </cell>
          <cell r="AA126">
            <v>0.14706914706914698</v>
          </cell>
          <cell r="AB126">
            <v>0.21040189125295528</v>
          </cell>
          <cell r="AC126">
            <v>0.28239608801956018</v>
          </cell>
          <cell r="AD126">
            <v>0.1949400798934755</v>
          </cell>
          <cell r="AE126">
            <v>0.21437704219349341</v>
          </cell>
          <cell r="AF126">
            <v>-0.13800489596083221</v>
          </cell>
          <cell r="AG126">
            <v>-0.26025390625000022</v>
          </cell>
          <cell r="AH126">
            <v>-0.38055290753098203</v>
          </cell>
          <cell r="AI126">
            <v>-0.29819478493425466</v>
          </cell>
          <cell r="AJ126">
            <v>-0.28375058493214778</v>
          </cell>
          <cell r="AK126">
            <v>0.13809016684416053</v>
          </cell>
          <cell r="AL126">
            <v>0.13861386138613874</v>
          </cell>
          <cell r="AM126">
            <v>0.10495537088334883</v>
          </cell>
          <cell r="AN126">
            <v>0.16894252143537636</v>
          </cell>
          <cell r="AO126">
            <v>0.13736218864842731</v>
          </cell>
          <cell r="AP126">
            <v>6.4878353087960194E-2</v>
          </cell>
          <cell r="AQ126">
            <v>0.13101449275362342</v>
          </cell>
          <cell r="AR126">
            <v>2.2284122562674202E-2</v>
          </cell>
          <cell r="AS126">
            <v>2.1189894050529512E-2</v>
          </cell>
          <cell r="AT126">
            <v>5.8734831622029304E-2</v>
          </cell>
          <cell r="AU126">
            <v>-0.17955477445811396</v>
          </cell>
          <cell r="AV126">
            <v>-0.16581240389543839</v>
          </cell>
          <cell r="AW126">
            <v>-2.8882833787466033E-2</v>
          </cell>
          <cell r="AX126">
            <v>-2.0750199521149426E-2</v>
          </cell>
          <cell r="AY126">
            <v>-9.7931502204136711E-2</v>
          </cell>
          <cell r="AZ126">
            <v>0.22777579435915807</v>
          </cell>
          <cell r="BA126">
            <v>0.22365591397849438</v>
          </cell>
          <cell r="BB126">
            <v>0.23428731762065058</v>
          </cell>
          <cell r="BC126">
            <v>0.19531442542787314</v>
          </cell>
          <cell r="BD126">
            <v>0.2195287873092242</v>
          </cell>
          <cell r="BE126">
            <v>0.25511119511485858</v>
          </cell>
          <cell r="BF126">
            <v>0.23418403213658046</v>
          </cell>
          <cell r="BG126">
            <v>0.11851361673107563</v>
          </cell>
          <cell r="BH126">
            <v>0.1086387434554974</v>
          </cell>
          <cell r="BI126">
            <v>0.17319754295068379</v>
          </cell>
        </row>
        <row r="127">
          <cell r="A127" t="str">
            <v>Gross Margin</v>
          </cell>
          <cell r="U127">
            <v>2.1562582112764073E-3</v>
          </cell>
          <cell r="V127">
            <v>2.0823387004064386E-2</v>
          </cell>
          <cell r="W127">
            <v>9.911027834753261E-2</v>
          </cell>
          <cell r="X127">
            <v>-3.7770643379992475E-2</v>
          </cell>
          <cell r="Y127">
            <v>-3.5452319270965038E-2</v>
          </cell>
          <cell r="Z127">
            <v>4.8655079297170722E-3</v>
          </cell>
          <cell r="AA127">
            <v>-1.2376970012126565E-2</v>
          </cell>
          <cell r="AB127">
            <v>-7.3325178726781903E-3</v>
          </cell>
          <cell r="AC127">
            <v>6.510712246771555E-2</v>
          </cell>
          <cell r="AD127">
            <v>1.6191681605523423E-2</v>
          </cell>
          <cell r="AE127">
            <v>1.9460680971911115E-2</v>
          </cell>
          <cell r="AF127">
            <v>6.5729191169727974E-2</v>
          </cell>
          <cell r="AG127">
            <v>2.0762830225102835E-2</v>
          </cell>
          <cell r="AH127">
            <v>7.0689617947647054E-2</v>
          </cell>
          <cell r="AI127">
            <v>4.678957763671443E-2</v>
          </cell>
          <cell r="AJ127">
            <v>4.9052173584227754E-2</v>
          </cell>
          <cell r="AK127">
            <v>4.2841694189223123E-2</v>
          </cell>
          <cell r="AL127">
            <v>-1.4542113070887819E-3</v>
          </cell>
          <cell r="AM127">
            <v>1.3057852122780211E-2</v>
          </cell>
          <cell r="AN127">
            <v>8.0225480269913163E-3</v>
          </cell>
          <cell r="AO127">
            <v>1.4487453348338786E-2</v>
          </cell>
          <cell r="AP127">
            <v>9.1594796899370223E-2</v>
          </cell>
          <cell r="AQ127">
            <v>0.14125670019766523</v>
          </cell>
          <cell r="AR127">
            <v>4.3259343375430026E-2</v>
          </cell>
          <cell r="AS127">
            <v>0.12055869899083427</v>
          </cell>
          <cell r="AT127">
            <v>9.9316455627559641E-2</v>
          </cell>
          <cell r="AU127">
            <v>-0.15653523680136494</v>
          </cell>
          <cell r="AV127">
            <v>-0.11747065279509217</v>
          </cell>
          <cell r="AW127">
            <v>-4.4523551522383964E-2</v>
          </cell>
          <cell r="AX127">
            <v>-4.6636712373687272E-2</v>
          </cell>
          <cell r="AY127">
            <v>-8.9439008883900328E-2</v>
          </cell>
          <cell r="AZ127">
            <v>9.374153929237683E-2</v>
          </cell>
          <cell r="BA127">
            <v>2.6791271347248236E-2</v>
          </cell>
          <cell r="BB127">
            <v>-1.5589078459334882E-2</v>
          </cell>
          <cell r="BC127">
            <v>-3.8202662320021452E-2</v>
          </cell>
          <cell r="BD127">
            <v>1.147885192789122E-2</v>
          </cell>
          <cell r="BE127">
            <v>-1.1718522826403843E-3</v>
          </cell>
          <cell r="BF127">
            <v>-1.2553351744912788E-3</v>
          </cell>
          <cell r="BG127">
            <v>7.6699249829510485E-3</v>
          </cell>
          <cell r="BH127">
            <v>7.8534031413612926E-3</v>
          </cell>
          <cell r="BI127">
            <v>3.6566851770052367E-3</v>
          </cell>
        </row>
        <row r="129">
          <cell r="A129" t="str">
            <v>SG&amp;A</v>
          </cell>
          <cell r="U129">
            <v>0.11196787148594356</v>
          </cell>
          <cell r="V129">
            <v>0.12474983322214794</v>
          </cell>
          <cell r="W129">
            <v>8.7384615384615394E-2</v>
          </cell>
          <cell r="X129">
            <v>0.12795477903391572</v>
          </cell>
          <cell r="Y129">
            <v>0.12958963282937375</v>
          </cell>
          <cell r="Z129">
            <v>0.11817393816815969</v>
          </cell>
          <cell r="AA129">
            <v>0.10142348754448394</v>
          </cell>
          <cell r="AB129">
            <v>0.14487832484436902</v>
          </cell>
          <cell r="AC129">
            <v>0.11708428246013658</v>
          </cell>
          <cell r="AD129">
            <v>0.14005736137667313</v>
          </cell>
          <cell r="AE129">
            <v>0.12622739018087858</v>
          </cell>
          <cell r="AF129">
            <v>-0.29402261712439415</v>
          </cell>
          <cell r="AG129">
            <v>-0.34799802273850722</v>
          </cell>
          <cell r="AH129">
            <v>-0.41884176182707988</v>
          </cell>
          <cell r="AI129">
            <v>-0.36813417190775688</v>
          </cell>
          <cell r="AJ129">
            <v>-0.36193644602500863</v>
          </cell>
          <cell r="AK129">
            <v>0.20823798627002299</v>
          </cell>
          <cell r="AL129">
            <v>0.12509476876421521</v>
          </cell>
          <cell r="AM129">
            <v>0.14596491228070185</v>
          </cell>
          <cell r="AN129">
            <v>0.12607830126078312</v>
          </cell>
          <cell r="AO129">
            <v>0.15030564545127634</v>
          </cell>
          <cell r="AP129">
            <v>-0.18686868686868685</v>
          </cell>
          <cell r="AQ129">
            <v>-6.4016172506738522E-2</v>
          </cell>
          <cell r="AR129">
            <v>-0.17942437232088182</v>
          </cell>
          <cell r="AS129">
            <v>-0.17560400707130219</v>
          </cell>
          <cell r="AT129">
            <v>-0.15348546420756481</v>
          </cell>
          <cell r="AU129">
            <v>-0.12344720496894412</v>
          </cell>
          <cell r="AV129">
            <v>-8.8552915766738738E-2</v>
          </cell>
          <cell r="AW129">
            <v>-0.15970149253731347</v>
          </cell>
          <cell r="AX129">
            <v>-3.0736240171551188E-2</v>
          </cell>
          <cell r="AY129">
            <v>-9.9519940915804961E-2</v>
          </cell>
          <cell r="AZ129">
            <v>0.21169176262178913</v>
          </cell>
          <cell r="BA129">
            <v>0.11611374407582931</v>
          </cell>
          <cell r="BB129">
            <v>0.43072824156305511</v>
          </cell>
          <cell r="BC129">
            <v>0.20587389380530974</v>
          </cell>
          <cell r="BD129">
            <v>0.23583452942382599</v>
          </cell>
          <cell r="BE129">
            <v>0.19529605263157879</v>
          </cell>
          <cell r="BF129">
            <v>0.16301544585987249</v>
          </cell>
          <cell r="BG129">
            <v>3.0275749999999713E-2</v>
          </cell>
          <cell r="BH129">
            <v>2.5200499999999959E-2</v>
          </cell>
          <cell r="BI129">
            <v>9.747319574501434E-2</v>
          </cell>
        </row>
        <row r="130">
          <cell r="A130" t="str">
            <v>Research &amp; Development</v>
          </cell>
          <cell r="U130">
            <v>0.1560826319816373</v>
          </cell>
          <cell r="V130">
            <v>0.20833333333333348</v>
          </cell>
          <cell r="W130">
            <v>0.19519519519519513</v>
          </cell>
          <cell r="X130">
            <v>0.1576576576576576</v>
          </cell>
          <cell r="Y130">
            <v>4.7393364928909998E-2</v>
          </cell>
          <cell r="Z130">
            <v>0.14559894109861005</v>
          </cell>
          <cell r="AA130">
            <v>1.3262599469495928E-2</v>
          </cell>
          <cell r="AB130">
            <v>3.2663316582914659E-2</v>
          </cell>
          <cell r="AC130">
            <v>4.0856031128404746E-2</v>
          </cell>
          <cell r="AD130">
            <v>-2.2624434389140191E-3</v>
          </cell>
          <cell r="AE130">
            <v>2.1952628538417063E-2</v>
          </cell>
          <cell r="AF130">
            <v>0.14921465968586367</v>
          </cell>
          <cell r="AG130">
            <v>5.1094890510948954E-2</v>
          </cell>
          <cell r="AH130">
            <v>-0.20934579439252343</v>
          </cell>
          <cell r="AI130">
            <v>4.9886621315192725E-2</v>
          </cell>
          <cell r="AJ130">
            <v>-6.7834934991518603E-3</v>
          </cell>
          <cell r="AK130">
            <v>3.1890660592255093E-2</v>
          </cell>
          <cell r="AL130">
            <v>3.935185185185186E-2</v>
          </cell>
          <cell r="AM130">
            <v>0.11820330969267134</v>
          </cell>
          <cell r="AN130">
            <v>0.16198704103671702</v>
          </cell>
          <cell r="AO130">
            <v>8.8787706317586812E-2</v>
          </cell>
          <cell r="AP130">
            <v>0.1258278145695364</v>
          </cell>
          <cell r="AQ130">
            <v>0.18930957683741645</v>
          </cell>
          <cell r="AR130">
            <v>0.4947145877378436</v>
          </cell>
          <cell r="AS130">
            <v>0.39776951672862459</v>
          </cell>
          <cell r="AT130">
            <v>0.30841610036591738</v>
          </cell>
          <cell r="AU130">
            <v>0.31568627450980391</v>
          </cell>
          <cell r="AV130">
            <v>0.40636704119850187</v>
          </cell>
          <cell r="AW130">
            <v>1.2729844413012614E-2</v>
          </cell>
          <cell r="AX130">
            <v>6.5159574468085069E-2</v>
          </cell>
          <cell r="AY130">
            <v>0.17419097083499779</v>
          </cell>
          <cell r="AZ130">
            <v>0.18628912071535031</v>
          </cell>
          <cell r="BA130">
            <v>0.12916111850865519</v>
          </cell>
          <cell r="BB130">
            <v>0.34776536312849182</v>
          </cell>
          <cell r="BC130">
            <v>0.22281523096129829</v>
          </cell>
          <cell r="BD130">
            <v>0.22098502892140193</v>
          </cell>
          <cell r="BE130">
            <v>0.22999999999999998</v>
          </cell>
          <cell r="BF130">
            <v>0.19999999999999996</v>
          </cell>
          <cell r="BG130">
            <v>6.0000000000000053E-2</v>
          </cell>
          <cell r="BH130">
            <v>6.0000000000000053E-2</v>
          </cell>
          <cell r="BI130">
            <v>0.13079330356209806</v>
          </cell>
        </row>
        <row r="132">
          <cell r="A132" t="str">
            <v>Operating Costs</v>
          </cell>
          <cell r="U132">
            <v>0.13215292030472758</v>
          </cell>
          <cell r="V132">
            <v>0.10291262135922352</v>
          </cell>
          <cell r="W132">
            <v>1.7500648172154465E-2</v>
          </cell>
          <cell r="X132">
            <v>0.11780215144484285</v>
          </cell>
          <cell r="Y132">
            <v>0.11022530329289437</v>
          </cell>
          <cell r="Z132">
            <v>8.8951023167209486E-2</v>
          </cell>
          <cell r="AA132">
            <v>0.14572047670639199</v>
          </cell>
          <cell r="AB132">
            <v>0.19696776659447091</v>
          </cell>
          <cell r="AC132">
            <v>0.14784413623926773</v>
          </cell>
          <cell r="AD132">
            <v>0.15246123425954816</v>
          </cell>
          <cell r="AE132">
            <v>0.15953274456138344</v>
          </cell>
          <cell r="AF132">
            <v>-0.21891252955082752</v>
          </cell>
          <cell r="AG132">
            <v>-0.28323576370409786</v>
          </cell>
          <cell r="AH132">
            <v>-0.42922899884925203</v>
          </cell>
          <cell r="AI132">
            <v>-0.33547047137439046</v>
          </cell>
          <cell r="AJ132">
            <v>-0.32729042462586677</v>
          </cell>
          <cell r="AK132">
            <v>9.0647699757869127E-2</v>
          </cell>
          <cell r="AL132">
            <v>0.13157113157113143</v>
          </cell>
          <cell r="AM132">
            <v>9.7062211981566726E-2</v>
          </cell>
          <cell r="AN132">
            <v>0.14893327897812214</v>
          </cell>
          <cell r="AO132">
            <v>0.1177428106348346</v>
          </cell>
          <cell r="AP132">
            <v>-9.0467600943527016E-2</v>
          </cell>
          <cell r="AQ132">
            <v>-7.1391076115485674E-2</v>
          </cell>
          <cell r="AR132">
            <v>-4.2268311892885158E-2</v>
          </cell>
          <cell r="AS132">
            <v>-0.12300413956238909</v>
          </cell>
          <cell r="AT132">
            <v>-8.2783171521035537E-2</v>
          </cell>
          <cell r="AU132">
            <v>5.9801678108314382E-2</v>
          </cell>
          <cell r="AV132">
            <v>3.462408140192208E-2</v>
          </cell>
          <cell r="AW132">
            <v>6.4418859649122417E-3</v>
          </cell>
          <cell r="AX132">
            <v>4.436952124072846E-2</v>
          </cell>
          <cell r="AY132">
            <v>3.5742008326864472E-2</v>
          </cell>
          <cell r="AZ132">
            <v>0.10076291924571734</v>
          </cell>
          <cell r="BA132">
            <v>0.15803851932796054</v>
          </cell>
          <cell r="BB132">
            <v>0.2996050660492986</v>
          </cell>
          <cell r="BC132">
            <v>0.25682949380165265</v>
          </cell>
          <cell r="BD132">
            <v>0.20595767671606224</v>
          </cell>
          <cell r="BE132">
            <v>0.2435147901137702</v>
          </cell>
          <cell r="BF132">
            <v>0.22076973637650377</v>
          </cell>
          <cell r="BG132">
            <v>8.7560812454154702E-2</v>
          </cell>
          <cell r="BH132">
            <v>7.9502631426926262E-2</v>
          </cell>
          <cell r="BI132">
            <v>0.15093481536978448</v>
          </cell>
        </row>
        <row r="134">
          <cell r="A134" t="str">
            <v>Operating Earnings</v>
          </cell>
          <cell r="U134">
            <v>0.18101430429128706</v>
          </cell>
          <cell r="V134">
            <v>8.7136929460580381E-2</v>
          </cell>
          <cell r="W134">
            <v>0.2177822177822184</v>
          </cell>
          <cell r="X134">
            <v>-8.5430463576159577E-2</v>
          </cell>
          <cell r="Y134">
            <v>-6.5799540933436318E-2</v>
          </cell>
          <cell r="Z134">
            <v>1.4534243558688376E-2</v>
          </cell>
          <cell r="AA134">
            <v>0.30916030534351258</v>
          </cell>
          <cell r="AB134">
            <v>0.36341263330598683</v>
          </cell>
          <cell r="AC134">
            <v>0.63504706734250793</v>
          </cell>
          <cell r="AD134">
            <v>0.36036036036036245</v>
          </cell>
          <cell r="AE134">
            <v>0.43477317126112558</v>
          </cell>
          <cell r="AF134">
            <v>3.6929057337221183E-2</v>
          </cell>
          <cell r="AG134">
            <v>-0.23044524669073452</v>
          </cell>
          <cell r="AH134">
            <v>-0.37953941541186931</v>
          </cell>
          <cell r="AI134">
            <v>-0.29018663455749549</v>
          </cell>
          <cell r="AJ134">
            <v>-0.25476550680786736</v>
          </cell>
          <cell r="AK134">
            <v>9.5595126522961982E-2</v>
          </cell>
          <cell r="AL134">
            <v>0.18608287724785155</v>
          </cell>
          <cell r="AM134">
            <v>5.9243397573162548E-2</v>
          </cell>
          <cell r="AN134">
            <v>0.22646310432569905</v>
          </cell>
          <cell r="AO134">
            <v>0.14007308160779441</v>
          </cell>
          <cell r="AP134">
            <v>0.38237810094097435</v>
          </cell>
          <cell r="AQ134">
            <v>0.30454845088991456</v>
          </cell>
          <cell r="AR134">
            <v>9.3665768194069132E-2</v>
          </cell>
          <cell r="AS134">
            <v>0.11203319502074649</v>
          </cell>
          <cell r="AT134">
            <v>0.21545584045584043</v>
          </cell>
          <cell r="AU134">
            <v>-0.38056930693069368</v>
          </cell>
          <cell r="AV134">
            <v>-0.37443153107630167</v>
          </cell>
          <cell r="AW134">
            <v>6.0998151571164394E-2</v>
          </cell>
          <cell r="AX134">
            <v>-5.2238805970149849E-2</v>
          </cell>
          <cell r="AY134">
            <v>-0.19645473190741203</v>
          </cell>
          <cell r="AZ134">
            <v>0.273726273726276</v>
          </cell>
          <cell r="BA134">
            <v>0.39095315024232713</v>
          </cell>
          <cell r="BB134">
            <v>5.8652729384436109E-2</v>
          </cell>
          <cell r="BC134">
            <v>0.17146482939632657</v>
          </cell>
          <cell r="BD134">
            <v>0.20425020966271523</v>
          </cell>
          <cell r="BE134">
            <v>0.33496658823529324</v>
          </cell>
          <cell r="BF134">
            <v>0.3094158972125427</v>
          </cell>
          <cell r="BG134">
            <v>0.22746416168403827</v>
          </cell>
          <cell r="BH134">
            <v>0.21174435601158614</v>
          </cell>
          <cell r="BI134">
            <v>0.2653309124588108</v>
          </cell>
        </row>
        <row r="136">
          <cell r="A136" t="str">
            <v>Royalty, Interest &amp; Dividend Inc.</v>
          </cell>
          <cell r="U136">
            <v>0.27898550724637672</v>
          </cell>
          <cell r="V136">
            <v>-0.43859649122807021</v>
          </cell>
          <cell r="W136">
            <v>-0.25</v>
          </cell>
          <cell r="X136">
            <v>4.4444444444444509E-2</v>
          </cell>
          <cell r="Y136">
            <v>0.17391304347826075</v>
          </cell>
          <cell r="Z136">
            <v>-0.15297450424929171</v>
          </cell>
          <cell r="AA136">
            <v>0.203125</v>
          </cell>
          <cell r="AB136">
            <v>-0.41666666666666663</v>
          </cell>
          <cell r="AC136">
            <v>9.5744680851063801E-2</v>
          </cell>
          <cell r="AD136">
            <v>-0.11111111111111105</v>
          </cell>
          <cell r="AE136">
            <v>-4.013377926421402E-2</v>
          </cell>
          <cell r="AF136">
            <v>-0.12987012987012991</v>
          </cell>
          <cell r="AG136">
            <v>1.5142857142857147</v>
          </cell>
          <cell r="AH136">
            <v>-0.34951456310679618</v>
          </cell>
          <cell r="AI136">
            <v>0.16666666666666674</v>
          </cell>
          <cell r="AJ136">
            <v>6.6202090592334617E-2</v>
          </cell>
          <cell r="AK136">
            <v>0.19402985074626855</v>
          </cell>
          <cell r="AL136">
            <v>-0.20454545454545459</v>
          </cell>
          <cell r="AM136">
            <v>0.34328358208955212</v>
          </cell>
          <cell r="AN136">
            <v>5.9523809523809534E-2</v>
          </cell>
          <cell r="AO136">
            <v>7.5163398692810413E-2</v>
          </cell>
          <cell r="AP136">
            <v>0.23750000000000004</v>
          </cell>
          <cell r="AQ136">
            <v>0.30000000000000004</v>
          </cell>
          <cell r="AR136">
            <v>4.4444444444444509E-2</v>
          </cell>
          <cell r="AS136">
            <v>2.2471910112359383E-2</v>
          </cell>
          <cell r="AT136">
            <v>0.13981762917933138</v>
          </cell>
          <cell r="AU136">
            <v>-8.0808080808080884E-2</v>
          </cell>
          <cell r="AV136">
            <v>0.31868131868131866</v>
          </cell>
          <cell r="AW136">
            <v>0.25531914893617014</v>
          </cell>
          <cell r="AX136">
            <v>0.70329670329670346</v>
          </cell>
          <cell r="AY136">
            <v>0.29066666666666685</v>
          </cell>
          <cell r="AZ136">
            <v>8.7912087912088044E-2</v>
          </cell>
          <cell r="BA136">
            <v>-6.6666666666666763E-2</v>
          </cell>
          <cell r="BB136">
            <v>-0.27966101694915257</v>
          </cell>
          <cell r="BC136">
            <v>-0.45161290322580649</v>
          </cell>
          <cell r="BD136">
            <v>-0.21280991735537191</v>
          </cell>
          <cell r="BE136">
            <v>-9.8484848484848397E-2</v>
          </cell>
          <cell r="BF136">
            <v>-0.20312499999999989</v>
          </cell>
          <cell r="BG136">
            <v>5.0000000000000044E-2</v>
          </cell>
          <cell r="BH136">
            <v>5.0000000000000044E-2</v>
          </cell>
          <cell r="BI136">
            <v>-6.2992125984251968E-2</v>
          </cell>
        </row>
        <row r="137">
          <cell r="A137" t="str">
            <v>Interest Expense</v>
          </cell>
          <cell r="U137">
            <v>7.745266781411364E-2</v>
          </cell>
          <cell r="V137">
            <v>0.1785714285714286</v>
          </cell>
          <cell r="W137">
            <v>0.31914893617021289</v>
          </cell>
          <cell r="X137">
            <v>0.6179775280898876</v>
          </cell>
          <cell r="Y137">
            <v>0.45508982035928147</v>
          </cell>
          <cell r="Z137">
            <v>0.40894568690095845</v>
          </cell>
          <cell r="AA137">
            <v>0.56363636363636371</v>
          </cell>
          <cell r="AB137">
            <v>0.39247311827956977</v>
          </cell>
          <cell r="AC137">
            <v>0.17708333333333326</v>
          </cell>
          <cell r="AD137">
            <v>2.0576131687242816E-2</v>
          </cell>
          <cell r="AE137">
            <v>0.25170068027210868</v>
          </cell>
          <cell r="AF137">
            <v>-0.37209302325581395</v>
          </cell>
          <cell r="AG137">
            <v>-0.30501930501930496</v>
          </cell>
          <cell r="AH137">
            <v>-0.4896755162241887</v>
          </cell>
          <cell r="AI137">
            <v>-0.282258064516129</v>
          </cell>
          <cell r="AJ137">
            <v>-0.37228260869565211</v>
          </cell>
          <cell r="AK137">
            <v>9.259259259259256E-2</v>
          </cell>
          <cell r="AL137">
            <v>1.6666666666666607E-2</v>
          </cell>
          <cell r="AM137">
            <v>2.8901734104046284E-2</v>
          </cell>
          <cell r="AN137">
            <v>-0.1404494382022472</v>
          </cell>
          <cell r="AO137">
            <v>-2.8860028860029363E-3</v>
          </cell>
          <cell r="AP137">
            <v>0.19774011299435035</v>
          </cell>
          <cell r="AQ137">
            <v>6.5573770491803129E-2</v>
          </cell>
          <cell r="AR137">
            <v>-8.9887640449438311E-2</v>
          </cell>
          <cell r="AS137">
            <v>-1.3071895424836666E-2</v>
          </cell>
          <cell r="AT137">
            <v>4.19681620839365E-2</v>
          </cell>
          <cell r="AU137">
            <v>-0.16981132075471683</v>
          </cell>
          <cell r="AV137">
            <v>-0.23589743589743584</v>
          </cell>
          <cell r="AW137">
            <v>-0.30246913580246904</v>
          </cell>
          <cell r="AX137">
            <v>-0.14569536423841056</v>
          </cell>
          <cell r="AY137">
            <v>-0.21250000000000002</v>
          </cell>
          <cell r="AZ137">
            <v>-7.3863636363636354E-2</v>
          </cell>
          <cell r="BA137">
            <v>0.15436241610738244</v>
          </cell>
          <cell r="BB137">
            <v>1</v>
          </cell>
          <cell r="BC137">
            <v>0.80449612403100779</v>
          </cell>
          <cell r="BD137">
            <v>0.39996472663139349</v>
          </cell>
          <cell r="BE137">
            <v>0.57090797546012295</v>
          </cell>
          <cell r="BF137">
            <v>0.48870930232558174</v>
          </cell>
          <cell r="BG137">
            <v>0.13300000000000023</v>
          </cell>
          <cell r="BH137">
            <v>0.10000000000000009</v>
          </cell>
          <cell r="BI137">
            <v>0.2903222555367988</v>
          </cell>
        </row>
        <row r="138">
          <cell r="A138" t="str">
            <v>Net Other Expense (Income)</v>
          </cell>
          <cell r="U138">
            <v>-2.3054755043227626E-2</v>
          </cell>
          <cell r="V138">
            <v>-0.69902912621359226</v>
          </cell>
          <cell r="W138">
            <v>2.2307692307692308</v>
          </cell>
          <cell r="X138">
            <v>1.6052631578947372</v>
          </cell>
          <cell r="Y138">
            <v>-4.0697674418604612E-2</v>
          </cell>
          <cell r="Z138">
            <v>0.11799410029498492</v>
          </cell>
          <cell r="AA138">
            <v>0.87096774193548376</v>
          </cell>
          <cell r="AB138">
            <v>-0.64285714285714279</v>
          </cell>
          <cell r="AC138">
            <v>1.7777777777777777</v>
          </cell>
          <cell r="AD138">
            <v>-0.92727272727272725</v>
          </cell>
          <cell r="AE138">
            <v>-1.055408970976246E-2</v>
          </cell>
          <cell r="AF138">
            <v>0.5</v>
          </cell>
          <cell r="AG138">
            <v>-0.5</v>
          </cell>
          <cell r="AH138">
            <v>-0.82181818181818178</v>
          </cell>
          <cell r="AI138">
            <v>4.166666666666667</v>
          </cell>
          <cell r="AJ138">
            <v>-0.43199999999999994</v>
          </cell>
          <cell r="AK138">
            <v>-0.18390804597701149</v>
          </cell>
          <cell r="AL138">
            <v>1.7333333333333329</v>
          </cell>
          <cell r="AM138">
            <v>0.73469387755102034</v>
          </cell>
          <cell r="AN138">
            <v>1.9677419354838706</v>
          </cell>
          <cell r="AO138">
            <v>0.7887323943661968</v>
          </cell>
          <cell r="AP138">
            <v>-4.2253521126760507E-2</v>
          </cell>
          <cell r="AQ138">
            <v>-1.4390243902439024</v>
          </cell>
          <cell r="AR138">
            <v>-0.3647058823529411</v>
          </cell>
          <cell r="AS138">
            <v>-0.53804347826086951</v>
          </cell>
          <cell r="AT138">
            <v>-0.50393700787401574</v>
          </cell>
          <cell r="AU138">
            <v>2.9852941176470593</v>
          </cell>
          <cell r="AV138">
            <v>-2.4444444444444446</v>
          </cell>
          <cell r="AW138">
            <v>0.98148148148148118</v>
          </cell>
          <cell r="AX138">
            <v>0.8</v>
          </cell>
          <cell r="AY138">
            <v>1.9470899470899474</v>
          </cell>
          <cell r="AZ138">
            <v>-0.6346863468634687</v>
          </cell>
          <cell r="BA138">
            <v>3.115384615384615</v>
          </cell>
          <cell r="BB138">
            <v>0.11214953271028039</v>
          </cell>
          <cell r="BC138">
            <v>-0.22222222222222221</v>
          </cell>
          <cell r="BD138">
            <v>-0.20287253141831241</v>
          </cell>
          <cell r="BE138">
            <v>0.14999999999999991</v>
          </cell>
          <cell r="BF138">
            <v>0.14999999999999991</v>
          </cell>
          <cell r="BG138">
            <v>0.14999999999999991</v>
          </cell>
          <cell r="BH138">
            <v>0.14999999999999991</v>
          </cell>
          <cell r="BI138">
            <v>0.15000000000000013</v>
          </cell>
        </row>
        <row r="140">
          <cell r="A140" t="str">
            <v>Pretax Income</v>
          </cell>
          <cell r="U140">
            <v>0.23050422799874681</v>
          </cell>
          <cell r="V140">
            <v>0.10101010101010033</v>
          </cell>
          <cell r="W140">
            <v>0.10393873085339234</v>
          </cell>
          <cell r="X140">
            <v>-0.2138728323699427</v>
          </cell>
          <cell r="Y140">
            <v>-0.13789778206364645</v>
          </cell>
          <cell r="Z140">
            <v>-7.2283023670144053E-2</v>
          </cell>
          <cell r="AA140">
            <v>0.20795107033639271</v>
          </cell>
          <cell r="AB140">
            <v>0.39544103072348658</v>
          </cell>
          <cell r="AC140">
            <v>0.60569852941176783</v>
          </cell>
          <cell r="AD140">
            <v>0.64765100671141251</v>
          </cell>
          <cell r="AE140">
            <v>0.48641975308642138</v>
          </cell>
          <cell r="AF140">
            <v>0.12025316455696267</v>
          </cell>
          <cell r="AG140">
            <v>-0.1676136363636368</v>
          </cell>
          <cell r="AH140">
            <v>-0.28677733257012106</v>
          </cell>
          <cell r="AI140">
            <v>-0.30549898167006106</v>
          </cell>
          <cell r="AJ140">
            <v>-0.20155038759690003</v>
          </cell>
          <cell r="AK140">
            <v>0.13107344632768414</v>
          </cell>
          <cell r="AL140">
            <v>0.16296928327645199</v>
          </cell>
          <cell r="AM140">
            <v>5.2166934189406877E-2</v>
          </cell>
          <cell r="AN140">
            <v>0.17106549364613777</v>
          </cell>
          <cell r="AO140">
            <v>0.12644475265834365</v>
          </cell>
          <cell r="AP140">
            <v>0.43356643356643243</v>
          </cell>
          <cell r="AQ140">
            <v>0.38884812912692612</v>
          </cell>
          <cell r="AR140">
            <v>0.14492753623188315</v>
          </cell>
          <cell r="AS140">
            <v>0.22120200333889772</v>
          </cell>
          <cell r="AT140">
            <v>0.29119638826185135</v>
          </cell>
          <cell r="AU140">
            <v>-0.55052264808362439</v>
          </cell>
          <cell r="AV140">
            <v>-0.3750660327522457</v>
          </cell>
          <cell r="AW140">
            <v>7.9280479680213123E-2</v>
          </cell>
          <cell r="AX140">
            <v>-4.5112781954887993E-2</v>
          </cell>
          <cell r="AY140">
            <v>-0.22997457088366102</v>
          </cell>
          <cell r="AZ140">
            <v>0.72403100775194207</v>
          </cell>
          <cell r="BA140">
            <v>0.31445477599323857</v>
          </cell>
          <cell r="BB140">
            <v>-3.5185185185185874E-2</v>
          </cell>
          <cell r="BC140">
            <v>8.6995275590552534E-2</v>
          </cell>
          <cell r="BD140">
            <v>0.18648759545923488</v>
          </cell>
          <cell r="BE140">
            <v>0.27825935251798462</v>
          </cell>
          <cell r="BF140">
            <v>0.26363741157556153</v>
          </cell>
          <cell r="BG140">
            <v>0.23736990834932947</v>
          </cell>
          <cell r="BH140">
            <v>0.22465890383208098</v>
          </cell>
          <cell r="BI140">
            <v>0.2490273110694301</v>
          </cell>
        </row>
        <row r="142">
          <cell r="A142" t="str">
            <v>Provision For Income Taxes</v>
          </cell>
          <cell r="U142">
            <v>0.10723404255319169</v>
          </cell>
          <cell r="V142">
            <v>0.16369948186528505</v>
          </cell>
          <cell r="W142">
            <v>3.8922155688622784E-2</v>
          </cell>
          <cell r="X142">
            <v>-0.29166666666666652</v>
          </cell>
          <cell r="Y142">
            <v>-8.8435374149659851E-2</v>
          </cell>
          <cell r="Z142">
            <v>-9.331744811683329E-2</v>
          </cell>
          <cell r="AA142">
            <v>0.31793369368727564</v>
          </cell>
          <cell r="AB142">
            <v>0.53890489913544659</v>
          </cell>
          <cell r="AC142">
            <v>0.7932441176470606</v>
          </cell>
          <cell r="AD142">
            <v>0.97761194029850751</v>
          </cell>
          <cell r="AE142">
            <v>0.66981435985601867</v>
          </cell>
          <cell r="AF142">
            <v>-2.7027027027027084E-2</v>
          </cell>
          <cell r="AG142">
            <v>-0.32209737827715346</v>
          </cell>
          <cell r="AH142">
            <v>-0.41446901196156227</v>
          </cell>
          <cell r="AI142">
            <v>-0.47358490566037736</v>
          </cell>
          <cell r="AJ142">
            <v>-0.34710969115648405</v>
          </cell>
          <cell r="AK142">
            <v>0.16319444444444442</v>
          </cell>
          <cell r="AL142">
            <v>0.26243093922651939</v>
          </cell>
          <cell r="AM142">
            <v>0.22969187675070013</v>
          </cell>
          <cell r="AN142">
            <v>0.43727598566308257</v>
          </cell>
          <cell r="AO142">
            <v>0.26905132192846004</v>
          </cell>
          <cell r="AP142">
            <v>0.46268656716417911</v>
          </cell>
          <cell r="AQ142">
            <v>0.4048140043763675</v>
          </cell>
          <cell r="AR142">
            <v>9.339407744874717E-2</v>
          </cell>
          <cell r="AS142">
            <v>0.20448877805486276</v>
          </cell>
          <cell r="AT142">
            <v>0.28370098039215685</v>
          </cell>
          <cell r="AU142">
            <v>-0.57219387755102091</v>
          </cell>
          <cell r="AV142">
            <v>-0.40112928348909682</v>
          </cell>
          <cell r="AW142">
            <v>2.5000000000000133E-2</v>
          </cell>
          <cell r="AX142">
            <v>-0.18725258799171918</v>
          </cell>
          <cell r="AY142">
            <v>-0.29419713603818654</v>
          </cell>
          <cell r="AZ142">
            <v>0.61793679189028383</v>
          </cell>
          <cell r="BA142">
            <v>0.23284999024644049</v>
          </cell>
          <cell r="BB142">
            <v>-7.2365853658537649E-2</v>
          </cell>
          <cell r="BC142">
            <v>0.16049317678706654</v>
          </cell>
          <cell r="BD142">
            <v>0.16667741065034059</v>
          </cell>
          <cell r="BE142">
            <v>0.27825935251798484</v>
          </cell>
          <cell r="BF142">
            <v>0.26437053454641291</v>
          </cell>
          <cell r="BG142">
            <v>0.29245829467995033</v>
          </cell>
          <cell r="BH142">
            <v>0.24506988556261566</v>
          </cell>
          <cell r="BI142">
            <v>0.26943516559056513</v>
          </cell>
        </row>
        <row r="143">
          <cell r="A143" t="str">
            <v>Tax Rate</v>
          </cell>
          <cell r="U143">
            <v>-0.10017859560388342</v>
          </cell>
          <cell r="V143">
            <v>5.6938061510672489E-2</v>
          </cell>
          <cell r="W143">
            <v>-5.8895093855896197E-2</v>
          </cell>
          <cell r="X143">
            <v>-9.8958333333332482E-2</v>
          </cell>
          <cell r="Y143">
            <v>5.7374180097096161E-2</v>
          </cell>
          <cell r="Z143">
            <v>-2.2673320617569659E-2</v>
          </cell>
          <cell r="AA143">
            <v>9.1048905913262423E-2</v>
          </cell>
          <cell r="AB143">
            <v>0.10280897956510482</v>
          </cell>
          <cell r="AC143">
            <v>0.1167999999999989</v>
          </cell>
          <cell r="AD143">
            <v>0.20026142201416319</v>
          </cell>
          <cell r="AE143">
            <v>0.12338009259416416</v>
          </cell>
          <cell r="AF143">
            <v>-0.13147045350435238</v>
          </cell>
          <cell r="AG143">
            <v>-0.18559138960258659</v>
          </cell>
          <cell r="AH143">
            <v>-0.17903480248543191</v>
          </cell>
          <cell r="AI143">
            <v>-0.24202401372212712</v>
          </cell>
          <cell r="AJ143">
            <v>-0.18230242872996483</v>
          </cell>
          <cell r="AK143">
            <v>2.8398684648684114E-2</v>
          </cell>
          <cell r="AL143">
            <v>8.5523889048773727E-2</v>
          </cell>
          <cell r="AM143">
            <v>0.16872317195375408</v>
          </cell>
          <cell r="AN143">
            <v>0.22732331663884375</v>
          </cell>
          <cell r="AO143">
            <v>0.12659881359789149</v>
          </cell>
          <cell r="AP143">
            <v>2.0313068802330525E-2</v>
          </cell>
          <cell r="AQ143">
            <v>1.149576754621684E-2</v>
          </cell>
          <cell r="AR143">
            <v>-4.501023615235944E-2</v>
          </cell>
          <cell r="AS143">
            <v>-1.3685880991301413E-2</v>
          </cell>
          <cell r="AT143">
            <v>-5.8050099410396072E-3</v>
          </cell>
          <cell r="AU143">
            <v>-4.8214285714285432E-2</v>
          </cell>
          <cell r="AV143">
            <v>-4.1705607476635098E-2</v>
          </cell>
          <cell r="AW143">
            <v>-5.0293209876543066E-2</v>
          </cell>
          <cell r="AX143">
            <v>-0.14885507246376817</v>
          </cell>
          <cell r="AY143">
            <v>-8.3403174396754154E-2</v>
          </cell>
          <cell r="AZ143">
            <v>-6.1538461538461542E-2</v>
          </cell>
          <cell r="BA143">
            <v>-6.2082611921840614E-2</v>
          </cell>
          <cell r="BB143">
            <v>-3.8536585365854026E-2</v>
          </cell>
          <cell r="BC143">
            <v>6.7615658362989217E-2</v>
          </cell>
          <cell r="BD143">
            <v>-1.6696495508852549E-2</v>
          </cell>
          <cell r="BE143">
            <v>0</v>
          </cell>
          <cell r="BF143">
            <v>5.8016877637157016E-4</v>
          </cell>
          <cell r="BG143">
            <v>4.4520547945205546E-2</v>
          </cell>
          <cell r="BH143">
            <v>1.6666666666666607E-2</v>
          </cell>
          <cell r="BI143">
            <v>1.6338997826766288E-2</v>
          </cell>
        </row>
        <row r="144">
          <cell r="U144" t="str">
            <v xml:space="preserve">              </v>
          </cell>
          <cell r="V144" t="str">
            <v xml:space="preserve">              </v>
          </cell>
          <cell r="W144" t="str">
            <v xml:space="preserve">              </v>
          </cell>
          <cell r="X144" t="str">
            <v xml:space="preserve">              </v>
          </cell>
          <cell r="Y144" t="str">
            <v xml:space="preserve">              </v>
          </cell>
          <cell r="Z144" t="str">
            <v xml:space="preserve">              </v>
          </cell>
          <cell r="AA144" t="str">
            <v xml:space="preserve">              </v>
          </cell>
          <cell r="AB144" t="str">
            <v xml:space="preserve">              </v>
          </cell>
          <cell r="AC144" t="str">
            <v xml:space="preserve">              </v>
          </cell>
          <cell r="AD144" t="str">
            <v xml:space="preserve">              </v>
          </cell>
          <cell r="AE144" t="str">
            <v xml:space="preserve">              </v>
          </cell>
          <cell r="AF144" t="str">
            <v xml:space="preserve">              </v>
          </cell>
          <cell r="AG144" t="str">
            <v xml:space="preserve">              </v>
          </cell>
          <cell r="AH144" t="str">
            <v xml:space="preserve">              </v>
          </cell>
          <cell r="AI144" t="str">
            <v xml:space="preserve">              </v>
          </cell>
          <cell r="AJ144" t="str">
            <v xml:space="preserve">              </v>
          </cell>
          <cell r="AK144" t="str">
            <v xml:space="preserve">              </v>
          </cell>
          <cell r="AL144" t="str">
            <v xml:space="preserve">              </v>
          </cell>
          <cell r="AM144" t="str">
            <v xml:space="preserve">              </v>
          </cell>
          <cell r="AN144" t="str">
            <v xml:space="preserve">              </v>
          </cell>
          <cell r="AO144" t="str">
            <v xml:space="preserve">              </v>
          </cell>
          <cell r="AP144" t="str">
            <v xml:space="preserve">              </v>
          </cell>
          <cell r="AQ144" t="str">
            <v xml:space="preserve">              </v>
          </cell>
          <cell r="AR144" t="str">
            <v xml:space="preserve">              </v>
          </cell>
          <cell r="AS144" t="str">
            <v xml:space="preserve">              </v>
          </cell>
          <cell r="AT144" t="str">
            <v xml:space="preserve">              </v>
          </cell>
          <cell r="AU144" t="str">
            <v xml:space="preserve">              </v>
          </cell>
          <cell r="AV144" t="str">
            <v xml:space="preserve">              </v>
          </cell>
          <cell r="AW144" t="str">
            <v xml:space="preserve">              </v>
          </cell>
          <cell r="AX144" t="str">
            <v xml:space="preserve">              </v>
          </cell>
          <cell r="AY144" t="str">
            <v xml:space="preserve">              </v>
          </cell>
          <cell r="AZ144" t="str">
            <v xml:space="preserve">              </v>
          </cell>
          <cell r="BA144" t="str">
            <v xml:space="preserve">              </v>
          </cell>
          <cell r="BB144" t="str">
            <v xml:space="preserve">              </v>
          </cell>
          <cell r="BC144" t="str">
            <v xml:space="preserve">              </v>
          </cell>
          <cell r="BD144" t="str">
            <v xml:space="preserve">              </v>
          </cell>
          <cell r="BE144" t="str">
            <v xml:space="preserve">              </v>
          </cell>
          <cell r="BF144" t="str">
            <v xml:space="preserve">              </v>
          </cell>
          <cell r="BG144" t="str">
            <v xml:space="preserve">              </v>
          </cell>
          <cell r="BH144" t="str">
            <v xml:space="preserve">              </v>
          </cell>
          <cell r="BI144" t="str">
            <v xml:space="preserve">              </v>
          </cell>
        </row>
        <row r="145">
          <cell r="A145" t="str">
            <v>Income After Taxes</v>
          </cell>
          <cell r="U145">
            <v>0.30227948463825483</v>
          </cell>
          <cell r="V145">
            <v>7.0837905236906584E-2</v>
          </cell>
          <cell r="W145">
            <v>0.14137931034482842</v>
          </cell>
          <cell r="X145">
            <v>-0.17256637168141686</v>
          </cell>
          <cell r="Y145">
            <v>-0.1574697173620474</v>
          </cell>
          <cell r="Z145">
            <v>-6.1869863013697013E-2</v>
          </cell>
          <cell r="AA145">
            <v>0.15042640298458987</v>
          </cell>
          <cell r="AB145">
            <v>0.32024169184289741</v>
          </cell>
          <cell r="AC145">
            <v>0.52045053475936198</v>
          </cell>
          <cell r="AD145">
            <v>0.50638977635783156</v>
          </cell>
          <cell r="AE145">
            <v>0.39867307859233136</v>
          </cell>
          <cell r="AF145">
            <v>0.20850202429149922</v>
          </cell>
          <cell r="AG145">
            <v>-7.3226544622426282E-2</v>
          </cell>
          <cell r="AH145">
            <v>-0.21832203901003966</v>
          </cell>
          <cell r="AI145">
            <v>-0.21102863202545075</v>
          </cell>
          <cell r="AJ145">
            <v>-0.11840540417487377</v>
          </cell>
          <cell r="AK145">
            <v>0.11557788944723679</v>
          </cell>
          <cell r="AL145">
            <v>0.11851851851852069</v>
          </cell>
          <cell r="AM145">
            <v>-1.912260967378987E-2</v>
          </cell>
          <cell r="AN145">
            <v>7.1236559139783884E-2</v>
          </cell>
          <cell r="AO145">
            <v>6.6118421052629994E-2</v>
          </cell>
          <cell r="AP145">
            <v>0.4189189189189173</v>
          </cell>
          <cell r="AQ145">
            <v>0.38079470198675547</v>
          </cell>
          <cell r="AR145">
            <v>0.17087155963302614</v>
          </cell>
          <cell r="AS145">
            <v>0.229611041405269</v>
          </cell>
          <cell r="AT145">
            <v>0.29497068805924131</v>
          </cell>
          <cell r="AU145">
            <v>-0.53928571428571503</v>
          </cell>
          <cell r="AV145">
            <v>-0.36169064748201518</v>
          </cell>
          <cell r="AW145">
            <v>0.10479921645445622</v>
          </cell>
          <cell r="AX145">
            <v>2.494183673469319E-2</v>
          </cell>
          <cell r="AY145">
            <v>-0.19791684536573606</v>
          </cell>
          <cell r="AZ145">
            <v>0.77511340798162931</v>
          </cell>
          <cell r="BA145">
            <v>0.35374596913058576</v>
          </cell>
          <cell r="BB145">
            <v>-1.896808510638337E-2</v>
          </cell>
          <cell r="BC145">
            <v>5.8270782911525654E-2</v>
          </cell>
          <cell r="BD145">
            <v>0.19518916521578222</v>
          </cell>
          <cell r="BE145">
            <v>0.27825935251798484</v>
          </cell>
          <cell r="BF145">
            <v>0.26331594969935135</v>
          </cell>
          <cell r="BG145">
            <v>0.2146498394107117</v>
          </cell>
          <cell r="BH145">
            <v>0.2159113402332804</v>
          </cell>
          <cell r="BI145">
            <v>0.24027705887186679</v>
          </cell>
        </row>
        <row r="146">
          <cell r="A146" t="str">
            <v>Equity In Earnings Of Assoc. Cos.</v>
          </cell>
          <cell r="U146">
            <v>-0.27331943286071736</v>
          </cell>
          <cell r="V146">
            <v>-0.50344827586206897</v>
          </cell>
          <cell r="W146">
            <v>4.9808429118773923E-2</v>
          </cell>
          <cell r="X146">
            <v>0.12878214144036937</v>
          </cell>
          <cell r="Y146">
            <v>0.42021276595744617</v>
          </cell>
          <cell r="Z146">
            <v>6.2791952162884801E-2</v>
          </cell>
          <cell r="AA146">
            <v>-0.41666666666666674</v>
          </cell>
          <cell r="AB146">
            <v>-0.58394160583941601</v>
          </cell>
          <cell r="AC146">
            <v>-0.39297124600638966</v>
          </cell>
          <cell r="AD146">
            <v>-0.36704119850187233</v>
          </cell>
          <cell r="AE146">
            <v>-0.44384449244060464</v>
          </cell>
          <cell r="AF146">
            <v>2.4285714285714293</v>
          </cell>
          <cell r="AG146">
            <v>0.80701754385964941</v>
          </cell>
          <cell r="AH146">
            <v>-0.10526315789473706</v>
          </cell>
          <cell r="AI146">
            <v>-0.13017751479289952</v>
          </cell>
          <cell r="AJ146">
            <v>0.29514563106796121</v>
          </cell>
          <cell r="AK146">
            <v>-0.19444444444444453</v>
          </cell>
          <cell r="AL146">
            <v>9.2233009708737823E-2</v>
          </cell>
          <cell r="AM146">
            <v>0.43529411764705883</v>
          </cell>
          <cell r="AN146">
            <v>0.80952380952380976</v>
          </cell>
          <cell r="AO146">
            <v>0.27586206896551713</v>
          </cell>
          <cell r="AP146">
            <v>-0.41379310344827591</v>
          </cell>
          <cell r="AQ146">
            <v>7.5555555555555598E-2</v>
          </cell>
          <cell r="AR146">
            <v>0.27049180327868849</v>
          </cell>
          <cell r="AS146">
            <v>-0.35338345864661658</v>
          </cell>
          <cell r="AT146">
            <v>-6.9330199764982225E-2</v>
          </cell>
          <cell r="AU146">
            <v>3.0441176470588234</v>
          </cell>
          <cell r="AV146">
            <v>0.35123966942148765</v>
          </cell>
          <cell r="AW146">
            <v>-0.50645161290322571</v>
          </cell>
          <cell r="AX146">
            <v>0.15116279069767447</v>
          </cell>
          <cell r="AY146">
            <v>0.20328282828282829</v>
          </cell>
          <cell r="AZ146">
            <v>-0.21454545454545448</v>
          </cell>
          <cell r="BA146">
            <v>-4.8929663608562768E-2</v>
          </cell>
          <cell r="BB146">
            <v>1.1045751633986929</v>
          </cell>
          <cell r="BC146">
            <v>0.41414141414141414</v>
          </cell>
          <cell r="BD146">
            <v>0.18467995802728243</v>
          </cell>
          <cell r="BE146">
            <v>0.10000000000000009</v>
          </cell>
          <cell r="BF146">
            <v>9.9999999999999867E-2</v>
          </cell>
          <cell r="BG146">
            <v>0.10000000000000009</v>
          </cell>
          <cell r="BH146">
            <v>0.10000000000000009</v>
          </cell>
          <cell r="BI146">
            <v>0.10000000000000009</v>
          </cell>
        </row>
        <row r="147">
          <cell r="A147" t="str">
            <v>Minority Int. In Earnings Of Subs.</v>
          </cell>
          <cell r="U147">
            <v>0.72832369942196507</v>
          </cell>
          <cell r="V147">
            <v>0</v>
          </cell>
          <cell r="W147">
            <v>3.2222222222222223</v>
          </cell>
          <cell r="X147">
            <v>-0.21259842519685035</v>
          </cell>
          <cell r="Y147">
            <v>-0.46212121212121215</v>
          </cell>
          <cell r="Z147">
            <v>-0.19732441471571893</v>
          </cell>
          <cell r="AA147">
            <v>1.5483870967741935</v>
          </cell>
          <cell r="AB147">
            <v>1.6315789473684212</v>
          </cell>
          <cell r="AC147">
            <v>1.1100000000000003</v>
          </cell>
          <cell r="AD147">
            <v>0.647887323943662</v>
          </cell>
          <cell r="AE147">
            <v>1.1124999999999994</v>
          </cell>
          <cell r="AF147">
            <v>0.79746835443037956</v>
          </cell>
          <cell r="AG147">
            <v>0.78999999999999981</v>
          </cell>
          <cell r="AH147">
            <v>-0.13744075829383895</v>
          </cell>
          <cell r="AI147">
            <v>0.20512820512820507</v>
          </cell>
          <cell r="AJ147">
            <v>0.27021696252465488</v>
          </cell>
          <cell r="AK147">
            <v>-0.14084507042253525</v>
          </cell>
          <cell r="AL147">
            <v>-0.11731843575418988</v>
          </cell>
          <cell r="AM147">
            <v>-0.2857142857142857</v>
          </cell>
          <cell r="AN147">
            <v>-0.17730496453900713</v>
          </cell>
          <cell r="AO147">
            <v>-0.18322981366459612</v>
          </cell>
          <cell r="AP147">
            <v>2.4590163934426368E-2</v>
          </cell>
          <cell r="AQ147">
            <v>0.31645569620253156</v>
          </cell>
          <cell r="AR147">
            <v>0.7615384615384615</v>
          </cell>
          <cell r="AS147">
            <v>0.73275862068965525</v>
          </cell>
          <cell r="AT147">
            <v>0.4505703422053231</v>
          </cell>
          <cell r="AU147">
            <v>-0.56000000000000005</v>
          </cell>
          <cell r="AV147">
            <v>-0.21153846153846145</v>
          </cell>
          <cell r="AW147">
            <v>-0.11353711790393006</v>
          </cell>
          <cell r="AX147">
            <v>0.10945273631840791</v>
          </cell>
          <cell r="AY147">
            <v>-0.15465268676277844</v>
          </cell>
          <cell r="AZ147">
            <v>0.8363636363636362</v>
          </cell>
          <cell r="BA147">
            <v>6.0975609756097393E-2</v>
          </cell>
          <cell r="BB147">
            <v>-0.55172413793103448</v>
          </cell>
          <cell r="BC147">
            <v>-0.21524663677130051</v>
          </cell>
          <cell r="BD147">
            <v>-0.16124031007751938</v>
          </cell>
          <cell r="BE147">
            <v>0.14999999999999991</v>
          </cell>
          <cell r="BF147">
            <v>0.14999999999999991</v>
          </cell>
          <cell r="BG147">
            <v>0.14999999999999991</v>
          </cell>
          <cell r="BH147">
            <v>0.14999999999999991</v>
          </cell>
          <cell r="BI147">
            <v>0.14999999999999991</v>
          </cell>
        </row>
        <row r="148">
          <cell r="A148" t="str">
            <v>Inc. Before Extraordinary Credits</v>
          </cell>
          <cell r="U148">
            <v>5.1343626806833242E-2</v>
          </cell>
          <cell r="V148">
            <v>-8.6590291262136798E-2</v>
          </cell>
          <cell r="W148">
            <v>7.9326923076923572E-2</v>
          </cell>
          <cell r="X148">
            <v>-8.8486090164945908E-2</v>
          </cell>
          <cell r="Y148">
            <v>2.878598247809605E-2</v>
          </cell>
          <cell r="Z148">
            <v>-1.5274865715295238E-2</v>
          </cell>
          <cell r="AA148">
            <v>-2.8498786154937283E-2</v>
          </cell>
          <cell r="AB148">
            <v>-1.1135857461026188E-2</v>
          </cell>
          <cell r="AC148">
            <v>0.16159937565036686</v>
          </cell>
          <cell r="AD148">
            <v>0.21046228710462578</v>
          </cell>
          <cell r="AE148">
            <v>9.674761043166491E-2</v>
          </cell>
          <cell r="AF148">
            <v>0.31072210065645667</v>
          </cell>
          <cell r="AG148">
            <v>-5.7432432432433012E-2</v>
          </cell>
          <cell r="AH148">
            <v>-0.21436678590016911</v>
          </cell>
          <cell r="AI148">
            <v>-0.24623115577889443</v>
          </cell>
          <cell r="AJ148">
            <v>-0.1137914363262198</v>
          </cell>
          <cell r="AK148">
            <v>0.10183639398998379</v>
          </cell>
          <cell r="AL148">
            <v>0.16248506571087429</v>
          </cell>
          <cell r="AM148">
            <v>0.12428734321550849</v>
          </cell>
          <cell r="AN148">
            <v>0.26266666666666527</v>
          </cell>
          <cell r="AO148">
            <v>0.16421808684296235</v>
          </cell>
          <cell r="AP148">
            <v>0.34545454545454413</v>
          </cell>
          <cell r="AQ148">
            <v>0.32065775950668063</v>
          </cell>
          <cell r="AR148">
            <v>0.11764705882352811</v>
          </cell>
          <cell r="AS148">
            <v>4.2238648363246423E-3</v>
          </cell>
          <cell r="AT148">
            <v>0.18508132361189045</v>
          </cell>
          <cell r="AU148">
            <v>-0.26196509009009106</v>
          </cell>
          <cell r="AV148">
            <v>-0.25173151750972844</v>
          </cell>
          <cell r="AW148">
            <v>-2.1778584392014744E-2</v>
          </cell>
          <cell r="AX148">
            <v>2.9908517350156982E-2</v>
          </cell>
          <cell r="AY148">
            <v>-0.1305388073828665</v>
          </cell>
          <cell r="AZ148">
            <v>0.35470532138089128</v>
          </cell>
          <cell r="BA148">
            <v>0.26673773432828152</v>
          </cell>
          <cell r="BB148">
            <v>0.24082003710575139</v>
          </cell>
          <cell r="BC148">
            <v>0.19248662760364987</v>
          </cell>
          <cell r="BD148">
            <v>0.25503162878370111</v>
          </cell>
          <cell r="BE148">
            <v>0.24948184132276041</v>
          </cell>
          <cell r="BF148">
            <v>0.23780340034893199</v>
          </cell>
          <cell r="BG148">
            <v>0.19144856840384072</v>
          </cell>
          <cell r="BH148">
            <v>0.19799937098713816</v>
          </cell>
          <cell r="BI148">
            <v>0.21652450771080844</v>
          </cell>
        </row>
        <row r="149">
          <cell r="A149" t="str">
            <v>Extraordinary Credits</v>
          </cell>
        </row>
        <row r="151">
          <cell r="A151" t="str">
            <v>Net Income</v>
          </cell>
          <cell r="U151">
            <v>0.10463337547408336</v>
          </cell>
          <cell r="V151">
            <v>-0.3224489795918376</v>
          </cell>
          <cell r="W151">
            <v>7.5449101796407847E-2</v>
          </cell>
          <cell r="X151">
            <v>-1.4117647058823541</v>
          </cell>
          <cell r="Y151">
            <v>-0.10851788386873007</v>
          </cell>
          <cell r="Z151">
            <v>-0.48355679158583886</v>
          </cell>
          <cell r="AA151">
            <v>-8.232931726907522E-2</v>
          </cell>
          <cell r="AB151">
            <v>-1.1135857461026188E-2</v>
          </cell>
          <cell r="AC151">
            <v>-3.7028983050847417</v>
          </cell>
          <cell r="AD151">
            <v>0.21046228710462578</v>
          </cell>
          <cell r="AE151">
            <v>0.91484598337950884</v>
          </cell>
          <cell r="AF151">
            <v>0.31072210065645667</v>
          </cell>
          <cell r="AG151">
            <v>-5.7432432432433012E-2</v>
          </cell>
          <cell r="AH151">
            <v>-0.21436678590016911</v>
          </cell>
          <cell r="AI151">
            <v>-0.24623115577889443</v>
          </cell>
          <cell r="AJ151">
            <v>-0.1137914363262198</v>
          </cell>
          <cell r="AK151">
            <v>0.10183639398998379</v>
          </cell>
          <cell r="AL151">
            <v>0.16248506571087429</v>
          </cell>
          <cell r="AM151">
            <v>0.12428734321550849</v>
          </cell>
          <cell r="AN151">
            <v>0.26266666666666527</v>
          </cell>
          <cell r="AO151">
            <v>0.16421808684296235</v>
          </cell>
          <cell r="AP151">
            <v>0.34545454545454413</v>
          </cell>
          <cell r="AQ151">
            <v>0.32065775950668063</v>
          </cell>
          <cell r="AR151">
            <v>0.11764705882352811</v>
          </cell>
          <cell r="AS151">
            <v>4.2238648363246423E-3</v>
          </cell>
          <cell r="AT151">
            <v>0.18508132361189045</v>
          </cell>
          <cell r="AU151">
            <v>-0.26196509009009106</v>
          </cell>
          <cell r="AV151">
            <v>-0.25173151750972844</v>
          </cell>
          <cell r="AW151">
            <v>-2.1778584392014744E-2</v>
          </cell>
          <cell r="AX151">
            <v>2.9908517350156982E-2</v>
          </cell>
          <cell r="AY151">
            <v>-0.1305388073828665</v>
          </cell>
          <cell r="AZ151">
            <v>0.35470532138089128</v>
          </cell>
          <cell r="BA151">
            <v>0.26673773432828152</v>
          </cell>
          <cell r="BB151">
            <v>0.24082003710575139</v>
          </cell>
          <cell r="BC151">
            <v>0.19248662760364987</v>
          </cell>
          <cell r="BD151">
            <v>0.25503162878370111</v>
          </cell>
          <cell r="BE151">
            <v>0.24948184132276041</v>
          </cell>
          <cell r="BF151">
            <v>0.23780340034893199</v>
          </cell>
          <cell r="BG151">
            <v>0.19144856840384072</v>
          </cell>
          <cell r="BH151">
            <v>0.19799937098713816</v>
          </cell>
          <cell r="BI151">
            <v>0.21652450771080844</v>
          </cell>
        </row>
        <row r="153">
          <cell r="A153" t="str">
            <v>Dil. Avg. Shares Outstanding (Mil.)</v>
          </cell>
          <cell r="U153">
            <v>1.1681240276809168E-2</v>
          </cell>
          <cell r="V153">
            <v>5.0349264900733104E-3</v>
          </cell>
          <cell r="W153">
            <v>1.0338916277138344E-2</v>
          </cell>
          <cell r="X153">
            <v>2.3972201200209042E-2</v>
          </cell>
          <cell r="Y153">
            <v>3.3937960042061066E-2</v>
          </cell>
          <cell r="Z153">
            <v>1.8353549413402614E-2</v>
          </cell>
          <cell r="AA153">
            <v>6.6934905501181197E-2</v>
          </cell>
          <cell r="AB153">
            <v>8.6902453418767234E-2</v>
          </cell>
          <cell r="AC153">
            <v>0.11045010721795423</v>
          </cell>
          <cell r="AD153">
            <v>0.14366784470265181</v>
          </cell>
          <cell r="AE153">
            <v>0.10239457429428711</v>
          </cell>
          <cell r="AF153">
            <v>0.11503768688990479</v>
          </cell>
          <cell r="AG153">
            <v>9.7601179048616427E-2</v>
          </cell>
          <cell r="AH153">
            <v>6.4433122571512902E-2</v>
          </cell>
          <cell r="AI153">
            <v>1.0190833585288273E-2</v>
          </cell>
          <cell r="AJ153">
            <v>7.0196279405895234E-2</v>
          </cell>
          <cell r="AK153">
            <v>7.0921985815601829E-3</v>
          </cell>
          <cell r="AL153">
            <v>3.9752650176678728E-3</v>
          </cell>
          <cell r="AM153">
            <v>1.3210039630120463E-3</v>
          </cell>
          <cell r="AN153">
            <v>-5.7218309859153882E-3</v>
          </cell>
          <cell r="AO153">
            <v>2.3171135385633423E-3</v>
          </cell>
          <cell r="AP153">
            <v>-3.0809859154928843E-3</v>
          </cell>
          <cell r="AQ153">
            <v>2.1997360316761139E-3</v>
          </cell>
          <cell r="AR153">
            <v>5.7167985927879528E-3</v>
          </cell>
          <cell r="AS153">
            <v>1.4165559982292963E-2</v>
          </cell>
          <cell r="AT153">
            <v>4.0730955526200319E-3</v>
          </cell>
          <cell r="AU153">
            <v>-4.3978627209206755E-2</v>
          </cell>
          <cell r="AV153">
            <v>-4.8413344182262064E-2</v>
          </cell>
          <cell r="AW153">
            <v>-1.8638573743922193E-2</v>
          </cell>
          <cell r="AX153">
            <v>-6.9246435845213838E-3</v>
          </cell>
          <cell r="AY153">
            <v>-2.9447727735887441E-2</v>
          </cell>
          <cell r="AZ153">
            <v>5.4170249355116162E-2</v>
          </cell>
          <cell r="BA153">
            <v>5.8144506199230506E-2</v>
          </cell>
          <cell r="BB153">
            <v>2.5185796862097432E-2</v>
          </cell>
          <cell r="BC153">
            <v>1.9278096800656286E-2</v>
          </cell>
          <cell r="BD153">
            <v>3.8845144356955297E-2</v>
          </cell>
          <cell r="BE153">
            <v>1.4477977161500899E-2</v>
          </cell>
          <cell r="BF153">
            <v>5.8585858585857853E-3</v>
          </cell>
          <cell r="BG153">
            <v>3.4232782923881988E-3</v>
          </cell>
          <cell r="BH153">
            <v>3.4205231388328983E-3</v>
          </cell>
          <cell r="BI153">
            <v>6.7710965133904732E-3</v>
          </cell>
        </row>
        <row r="155">
          <cell r="A155" t="str">
            <v>Dil. Earnings Per Share</v>
          </cell>
          <cell r="U155">
            <v>9.3613769816592418E-2</v>
          </cell>
          <cell r="V155">
            <v>-0.32711904469249786</v>
          </cell>
          <cell r="W155">
            <v>6.4893766957214716E-2</v>
          </cell>
          <cell r="X155">
            <v>-1.4090322714423091</v>
          </cell>
          <cell r="Y155">
            <v>-0.13835211714099593</v>
          </cell>
          <cell r="Z155">
            <v>-0.4954521914610347</v>
          </cell>
          <cell r="AA155">
            <v>9.0106824995132895E-2</v>
          </cell>
          <cell r="AB155">
            <v>0.14350953092456264</v>
          </cell>
          <cell r="AC155" t="str">
            <v>NM</v>
          </cell>
          <cell r="AD155">
            <v>-0.69361819305242634</v>
          </cell>
          <cell r="AE155">
            <v>0.42612818864247526</v>
          </cell>
          <cell r="AF155">
            <v>0.57032760392731263</v>
          </cell>
          <cell r="AG155">
            <v>-3.4449538036042249</v>
          </cell>
          <cell r="AH155">
            <v>-0.23647665053177536</v>
          </cell>
          <cell r="AI155">
            <v>1.9046306932401782</v>
          </cell>
          <cell r="AJ155">
            <v>-1.1692205750687759</v>
          </cell>
          <cell r="AK155">
            <v>-0.29753312729504344</v>
          </cell>
          <cell r="AL155" t="str">
            <v>NM</v>
          </cell>
          <cell r="AM155">
            <v>-1.3184949197691502</v>
          </cell>
          <cell r="AN155">
            <v>0.27650633445055606</v>
          </cell>
          <cell r="AO155" t="str">
            <v>NM</v>
          </cell>
          <cell r="AP155">
            <v>0.25425488133328655</v>
          </cell>
          <cell r="AQ155">
            <v>9.494215370179715E-2</v>
          </cell>
          <cell r="AR155" t="str">
            <v>NM</v>
          </cell>
          <cell r="AS155">
            <v>-3.420565804145792E-2</v>
          </cell>
          <cell r="AT155">
            <v>0.56583708470687255</v>
          </cell>
          <cell r="AU155">
            <v>-0.25850020452726341</v>
          </cell>
          <cell r="AV155">
            <v>-0.24555518530836462</v>
          </cell>
          <cell r="AW155">
            <v>-3.1996475142412883E-3</v>
          </cell>
          <cell r="AX155">
            <v>3.7089995937094056E-2</v>
          </cell>
          <cell r="AY155">
            <v>-0.12224875654741196</v>
          </cell>
          <cell r="AZ155">
            <v>0.33792678776709395</v>
          </cell>
          <cell r="BA155">
            <v>0.24773787405898084</v>
          </cell>
          <cell r="BB155">
            <v>0.21033674179223905</v>
          </cell>
          <cell r="BC155">
            <v>0.16993255456647827</v>
          </cell>
          <cell r="BD155">
            <v>0.23300169931183223</v>
          </cell>
          <cell r="BE155">
            <v>0.2316500401702144</v>
          </cell>
          <cell r="BF155">
            <v>0.23059386055979392</v>
          </cell>
          <cell r="BG155">
            <v>0.18738382313736168</v>
          </cell>
          <cell r="BH155">
            <v>0.19391555520474801</v>
          </cell>
          <cell r="BI155">
            <v>0.20834270264991517</v>
          </cell>
        </row>
        <row r="158">
          <cell r="A158" t="str">
            <v>Source:  Corning Inc. financial statements; Salomon Smith Barney estimates.</v>
          </cell>
        </row>
      </sheetData>
      <sheetData sheetId="7" refreshError="1">
        <row r="6">
          <cell r="B6" t="str">
            <v>1H</v>
          </cell>
          <cell r="H6">
            <v>72.9375</v>
          </cell>
        </row>
        <row r="49">
          <cell r="R49">
            <v>15198.621875000001</v>
          </cell>
        </row>
        <row r="60">
          <cell r="F60">
            <v>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Index"/>
      <sheetName val="Sum"/>
      <sheetName val="LTM"/>
      <sheetName val="P&amp;L"/>
      <sheetName val="BS"/>
      <sheetName val="CFS"/>
      <sheetName val="Assump"/>
      <sheetName val="Depr"/>
      <sheetName val="Amort"/>
      <sheetName val="Deb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DCF_10"/>
      <sheetName val="DCF_5"/>
      <sheetName val="Comps"/>
      <sheetName val="LBO"/>
      <sheetName val="HighYield"/>
      <sheetName val="CitiFin"/>
      <sheetName val="EVA"/>
      <sheetName val="Check"/>
      <sheetName val="Print Controls"/>
      <sheetName val="PrintMacro"/>
    </sheetNames>
    <sheetDataSet>
      <sheetData sheetId="0" refreshError="1">
        <row r="6">
          <cell r="C6" t="str">
            <v>Company Name</v>
          </cell>
        </row>
        <row r="12">
          <cell r="D12" t="str">
            <v>(Dollars in millions, Except per Share Data)</v>
          </cell>
        </row>
        <row r="13">
          <cell r="C13">
            <v>1997</v>
          </cell>
        </row>
        <row r="17">
          <cell r="D17" t="str">
            <v>Projected Fiscal Year Ending December 31,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Metrics"/>
      <sheetName val="IS"/>
      <sheetName val="BS"/>
      <sheetName val="CF"/>
      <sheetName val="DCF"/>
      <sheetName val="ReOI"/>
      <sheetName val="D&amp;A Table"/>
      <sheetName val="Analysis"/>
      <sheetName val="Re-Stmts"/>
      <sheetName val="IS%"/>
      <sheetName val="BS%"/>
      <sheetName val="Tren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Q@" TargetMode="External"/><Relationship Id="rId1" Type="http://schemas.openxmlformats.org/officeDocument/2006/relationships/hyperlink" Target="https://needham.bluematrix.com/sellside/Preference.action?exceltoolkit&amp;from=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RowHeight="14.25"/>
  <sheetData>
    <row r="1" spans="1:2">
      <c r="B1" t="s">
        <v>196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K60"/>
  <sheetViews>
    <sheetView zoomScale="70" zoomScaleNormal="70" workbookViewId="0">
      <pane xSplit="2" ySplit="16" topLeftCell="C17" activePane="bottomRight" state="frozen"/>
      <selection pane="topRight" activeCell="C1" sqref="C1"/>
      <selection pane="bottomLeft" activeCell="A17" sqref="A17"/>
      <selection pane="bottomRight" activeCell="BF42" sqref="BF42"/>
    </sheetView>
  </sheetViews>
  <sheetFormatPr defaultColWidth="16.3984375" defaultRowHeight="15" outlineLevelCol="1"/>
  <cols>
    <col min="1" max="1" width="57" style="32" customWidth="1"/>
    <col min="2" max="2" width="19.3984375" style="32" bestFit="1" customWidth="1"/>
    <col min="3" max="3" width="26.3984375" style="79" customWidth="1"/>
    <col min="4" max="7" width="12.59765625" style="33" hidden="1" customWidth="1" outlineLevel="1"/>
    <col min="8" max="8" width="12.59765625" style="33" hidden="1" customWidth="1" collapsed="1"/>
    <col min="9" max="12" width="12.59765625" style="33" hidden="1" customWidth="1" outlineLevel="1"/>
    <col min="13" max="13" width="12.59765625" style="33" hidden="1" customWidth="1" collapsed="1"/>
    <col min="14" max="17" width="12.59765625" style="33" hidden="1" customWidth="1" outlineLevel="1"/>
    <col min="18" max="18" width="12.59765625" style="33" hidden="1" customWidth="1" collapsed="1"/>
    <col min="19" max="22" width="12.59765625" style="33" hidden="1" customWidth="1" outlineLevel="1"/>
    <col min="23" max="23" width="10.59765625" style="33" hidden="1" customWidth="1" collapsed="1"/>
    <col min="24" max="27" width="10.59765625" style="33" hidden="1" customWidth="1" outlineLevel="1"/>
    <col min="28" max="28" width="10.59765625" style="33" hidden="1" customWidth="1" collapsed="1"/>
    <col min="29" max="32" width="10.59765625" style="33" hidden="1" customWidth="1" outlineLevel="1"/>
    <col min="33" max="33" width="10.59765625" style="33" hidden="1" customWidth="1" collapsed="1"/>
    <col min="34" max="37" width="10.59765625" style="33" hidden="1" customWidth="1" outlineLevel="1"/>
    <col min="38" max="38" width="10.59765625" style="33" hidden="1" customWidth="1" collapsed="1"/>
    <col min="39" max="42" width="10.59765625" style="33" hidden="1" customWidth="1" outlineLevel="1"/>
    <col min="43" max="43" width="10.59765625" style="33" hidden="1" customWidth="1" collapsed="1"/>
    <col min="44" max="47" width="10.59765625" style="33" hidden="1" customWidth="1" outlineLevel="1"/>
    <col min="48" max="48" width="10.59765625" style="33" hidden="1" customWidth="1" collapsed="1"/>
    <col min="49" max="52" width="10.59765625" style="33" hidden="1" customWidth="1" outlineLevel="1"/>
    <col min="53" max="53" width="10.59765625" style="33" hidden="1" customWidth="1" collapsed="1"/>
    <col min="54" max="57" width="10.59765625" style="33" hidden="1" customWidth="1" outlineLevel="1"/>
    <col min="58" max="58" width="10.59765625" style="33" customWidth="1" collapsed="1"/>
    <col min="59" max="62" width="10.59765625" style="33" hidden="1" customWidth="1" outlineLevel="1"/>
    <col min="63" max="63" width="10.59765625" style="33" customWidth="1" collapsed="1"/>
    <col min="64" max="67" width="10.59765625" style="33" customWidth="1" outlineLevel="1"/>
    <col min="68" max="68" width="10.59765625" style="33" customWidth="1"/>
    <col min="69" max="72" width="10.59765625" style="33" customWidth="1" outlineLevel="1"/>
    <col min="73" max="73" width="10.59765625" style="33" customWidth="1"/>
    <col min="74" max="77" width="10.59765625" style="33" customWidth="1" outlineLevel="1"/>
    <col min="78" max="78" width="10.59765625" style="33" customWidth="1"/>
    <col min="79" max="237" width="16.3984375" style="33"/>
    <col min="238" max="238" width="57.3984375" style="33" customWidth="1"/>
    <col min="239" max="239" width="62.3984375" style="33" customWidth="1"/>
    <col min="240" max="240" width="13.59765625" style="33" customWidth="1"/>
    <col min="241" max="241" width="12.59765625" style="33" customWidth="1"/>
    <col min="242" max="245" width="0" style="33" hidden="1" customWidth="1"/>
    <col min="246" max="246" width="12.59765625" style="33" bestFit="1" customWidth="1"/>
    <col min="247" max="250" width="0" style="33" hidden="1" customWidth="1"/>
    <col min="251" max="251" width="13.3984375" style="33" bestFit="1" customWidth="1"/>
    <col min="252" max="255" width="0" style="33" hidden="1" customWidth="1"/>
    <col min="256" max="256" width="13.3984375" style="33" bestFit="1" customWidth="1"/>
    <col min="257" max="260" width="11.59765625" style="33" bestFit="1" customWidth="1"/>
    <col min="261" max="261" width="14.3984375" style="33" bestFit="1" customWidth="1"/>
    <col min="262" max="16384" width="16.3984375" style="33"/>
  </cols>
  <sheetData>
    <row r="1" spans="1:89" s="21" customFormat="1" ht="15.4">
      <c r="A1" s="19" t="s">
        <v>20</v>
      </c>
      <c r="B1" s="20"/>
      <c r="CD1" s="22" t="s">
        <v>21</v>
      </c>
      <c r="CE1" s="23"/>
    </row>
    <row r="2" spans="1:89" s="21" customFormat="1" ht="15.4">
      <c r="A2" s="19" t="s">
        <v>22</v>
      </c>
      <c r="B2" s="20"/>
      <c r="CD2" s="22" t="s">
        <v>23</v>
      </c>
      <c r="CE2" s="23"/>
    </row>
    <row r="3" spans="1:89" s="21" customFormat="1" ht="15.4">
      <c r="A3" s="19" t="s">
        <v>24</v>
      </c>
      <c r="B3" s="20"/>
      <c r="CD3" s="22" t="s">
        <v>25</v>
      </c>
      <c r="CE3" s="23"/>
    </row>
    <row r="4" spans="1:89" s="21" customFormat="1" ht="21">
      <c r="A4" s="24" t="s">
        <v>26</v>
      </c>
      <c r="B4" s="20"/>
      <c r="C4" s="25"/>
      <c r="CD4" s="22" t="s">
        <v>27</v>
      </c>
      <c r="CE4" s="23"/>
    </row>
    <row r="5" spans="1:89" s="20" customFormat="1" ht="18.75" customHeight="1">
      <c r="A5" s="24"/>
      <c r="C5" s="25"/>
      <c r="D5" s="21"/>
      <c r="E5" s="21"/>
      <c r="F5" s="21"/>
      <c r="G5" s="21"/>
      <c r="H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CB5" s="26" t="s">
        <v>28</v>
      </c>
      <c r="CD5" s="22" t="s">
        <v>29</v>
      </c>
      <c r="CE5" s="23"/>
    </row>
    <row r="6" spans="1:89" s="21" customFormat="1" ht="18" customHeight="1">
      <c r="A6" s="24"/>
      <c r="B6" s="20"/>
      <c r="C6" s="25"/>
      <c r="CB6" s="26" t="s">
        <v>30</v>
      </c>
      <c r="CD6" s="22" t="s">
        <v>31</v>
      </c>
      <c r="CE6" s="23"/>
    </row>
    <row r="7" spans="1:89" s="21" customFormat="1" ht="17.25" customHeight="1">
      <c r="A7" s="24"/>
      <c r="B7" s="20"/>
      <c r="C7" s="25"/>
      <c r="CB7" s="26" t="s">
        <v>32</v>
      </c>
      <c r="CD7" s="22" t="s">
        <v>33</v>
      </c>
      <c r="CE7" s="23"/>
    </row>
    <row r="8" spans="1:89" s="21" customFormat="1" ht="4.5" customHeight="1">
      <c r="A8" s="24"/>
      <c r="B8" s="20"/>
      <c r="C8" s="25"/>
      <c r="CB8" s="26" t="s">
        <v>34</v>
      </c>
      <c r="CD8" s="22" t="s">
        <v>35</v>
      </c>
      <c r="CE8" s="23"/>
    </row>
    <row r="9" spans="1:89" s="21" customFormat="1" ht="17.649999999999999">
      <c r="A9" s="27" t="s">
        <v>36</v>
      </c>
      <c r="B9" s="28"/>
      <c r="C9" s="29" t="s">
        <v>162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CB9" s="26" t="s">
        <v>37</v>
      </c>
      <c r="CD9" s="22" t="s">
        <v>38</v>
      </c>
      <c r="CE9" s="23"/>
    </row>
    <row r="10" spans="1:89" s="21" customFormat="1" ht="13.5" customHeight="1">
      <c r="A10" s="21" t="s">
        <v>39</v>
      </c>
      <c r="B10" s="30" t="s">
        <v>40</v>
      </c>
      <c r="C10" s="29" t="s">
        <v>32</v>
      </c>
      <c r="D10" s="85" t="e">
        <f ca="1">_xll.BLUEMATRIX2("/servlet/excelData",C10, $C$14,$B10)</f>
        <v>#NAME?</v>
      </c>
      <c r="CB10" s="26" t="s">
        <v>41</v>
      </c>
      <c r="CD10" s="22" t="s">
        <v>42</v>
      </c>
      <c r="CE10" s="23"/>
    </row>
    <row r="11" spans="1:89" s="21" customFormat="1" ht="13.5" customHeight="1">
      <c r="A11" s="21" t="s">
        <v>43</v>
      </c>
      <c r="B11" s="30"/>
      <c r="C11" s="29" t="s">
        <v>44</v>
      </c>
      <c r="CB11" s="26" t="s">
        <v>45</v>
      </c>
      <c r="CD11" s="22" t="s">
        <v>46</v>
      </c>
    </row>
    <row r="12" spans="1:89" s="32" customFormat="1" ht="15.4">
      <c r="A12" s="21"/>
      <c r="B12" s="30"/>
      <c r="C12" s="3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CB12" s="86" t="s">
        <v>47</v>
      </c>
      <c r="CD12" s="22" t="s">
        <v>48</v>
      </c>
    </row>
    <row r="13" spans="1:89" s="32" customFormat="1" ht="15.4">
      <c r="A13" s="21" t="s">
        <v>49</v>
      </c>
      <c r="B13" s="30" t="s">
        <v>50</v>
      </c>
      <c r="C13" s="34" t="s">
        <v>434</v>
      </c>
      <c r="D13" s="85" t="e">
        <f ca="1">_xll.BLUEMATRIX2("/servlet/excelData",C13, $C$14,$B13)</f>
        <v>#NAME?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CD13" s="22" t="s">
        <v>51</v>
      </c>
    </row>
    <row r="14" spans="1:89" s="38" customFormat="1" ht="15.4">
      <c r="A14" s="21" t="s">
        <v>52</v>
      </c>
      <c r="B14" s="35"/>
      <c r="C14" s="36" t="s">
        <v>163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37"/>
      <c r="Y14" s="37"/>
      <c r="AB14" s="37" t="s">
        <v>53</v>
      </c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 t="s">
        <v>54</v>
      </c>
      <c r="CC14" s="37" t="s">
        <v>53</v>
      </c>
      <c r="CD14" s="22" t="s">
        <v>55</v>
      </c>
      <c r="CG14" s="37"/>
      <c r="CH14" s="37"/>
      <c r="CI14" s="37"/>
      <c r="CJ14" s="37"/>
      <c r="CK14" s="37"/>
    </row>
    <row r="15" spans="1:89" s="32" customFormat="1" ht="15.4">
      <c r="A15" s="38"/>
      <c r="B15" s="39"/>
      <c r="C15" s="87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 t="s">
        <v>53</v>
      </c>
      <c r="CC15" s="37" t="s">
        <v>54</v>
      </c>
      <c r="CD15" s="22" t="s">
        <v>56</v>
      </c>
      <c r="CG15" s="750"/>
      <c r="CH15" s="37"/>
      <c r="CI15" s="37"/>
      <c r="CJ15" s="37"/>
      <c r="CK15" s="37"/>
    </row>
    <row r="16" spans="1:89">
      <c r="B16" s="40"/>
      <c r="C16" s="88"/>
      <c r="D16" s="41">
        <f>$B$17-3</f>
        <v>2013</v>
      </c>
      <c r="E16" s="41">
        <f>$B$17-3</f>
        <v>2013</v>
      </c>
      <c r="F16" s="41">
        <f>$B$17-3</f>
        <v>2013</v>
      </c>
      <c r="G16" s="41">
        <f>$B$17-3</f>
        <v>2013</v>
      </c>
      <c r="H16" s="41">
        <f>$B$17-3</f>
        <v>2013</v>
      </c>
      <c r="I16" s="42">
        <f>$B$17-2</f>
        <v>2014</v>
      </c>
      <c r="J16" s="41">
        <f>$B$17-2</f>
        <v>2014</v>
      </c>
      <c r="K16" s="41">
        <f>$B$17-2</f>
        <v>2014</v>
      </c>
      <c r="L16" s="41">
        <f>$B$17-2</f>
        <v>2014</v>
      </c>
      <c r="M16" s="41">
        <f>$B$17-2</f>
        <v>2014</v>
      </c>
      <c r="N16" s="42">
        <f>$B$17-1</f>
        <v>2015</v>
      </c>
      <c r="O16" s="41">
        <f>$B$17-1</f>
        <v>2015</v>
      </c>
      <c r="P16" s="41">
        <f>$B$17-1</f>
        <v>2015</v>
      </c>
      <c r="Q16" s="41">
        <f>$B$17-1</f>
        <v>2015</v>
      </c>
      <c r="R16" s="41">
        <f>$B$17-1</f>
        <v>2015</v>
      </c>
      <c r="S16" s="42">
        <f>$B$17-0</f>
        <v>2016</v>
      </c>
      <c r="T16" s="41">
        <f>$B$17-0</f>
        <v>2016</v>
      </c>
      <c r="U16" s="41">
        <f>$B$17-0</f>
        <v>2016</v>
      </c>
      <c r="V16" s="41">
        <f>$B$17-0</f>
        <v>2016</v>
      </c>
      <c r="W16" s="41">
        <f>$B$17-0</f>
        <v>2016</v>
      </c>
      <c r="X16" s="42">
        <f>$B$17+1</f>
        <v>2017</v>
      </c>
      <c r="Y16" s="41">
        <f>$B$17+1</f>
        <v>2017</v>
      </c>
      <c r="Z16" s="41">
        <f>$B$17+1</f>
        <v>2017</v>
      </c>
      <c r="AA16" s="41">
        <f>$B$17+1</f>
        <v>2017</v>
      </c>
      <c r="AB16" s="41">
        <f>$B$17+1</f>
        <v>2017</v>
      </c>
      <c r="AC16" s="42">
        <f>$B$17+2</f>
        <v>2018</v>
      </c>
      <c r="AD16" s="41">
        <f>$B$17+2</f>
        <v>2018</v>
      </c>
      <c r="AE16" s="41">
        <f>$B$17+2</f>
        <v>2018</v>
      </c>
      <c r="AF16" s="41">
        <f>$B$17+2</f>
        <v>2018</v>
      </c>
      <c r="AG16" s="41">
        <f>$B$17+2</f>
        <v>2018</v>
      </c>
      <c r="AH16" s="42">
        <f>$B$17+3</f>
        <v>2019</v>
      </c>
      <c r="AI16" s="41">
        <f>$B$17+3</f>
        <v>2019</v>
      </c>
      <c r="AJ16" s="41">
        <f>$B$17+3</f>
        <v>2019</v>
      </c>
      <c r="AK16" s="41">
        <f>$B$17+3</f>
        <v>2019</v>
      </c>
      <c r="AL16" s="41">
        <f>$B$17+3</f>
        <v>2019</v>
      </c>
      <c r="AM16" s="42">
        <f>$B$17+4</f>
        <v>2020</v>
      </c>
      <c r="AN16" s="42">
        <f t="shared" ref="AN16:AQ16" si="0">$B$17+4</f>
        <v>2020</v>
      </c>
      <c r="AO16" s="42">
        <f t="shared" si="0"/>
        <v>2020</v>
      </c>
      <c r="AP16" s="42">
        <f t="shared" si="0"/>
        <v>2020</v>
      </c>
      <c r="AQ16" s="42">
        <f t="shared" si="0"/>
        <v>2020</v>
      </c>
      <c r="AR16" s="42">
        <f t="shared" ref="AR16:AU16" si="1">$B$17+5</f>
        <v>2021</v>
      </c>
      <c r="AS16" s="42">
        <f t="shared" si="1"/>
        <v>2021</v>
      </c>
      <c r="AT16" s="42">
        <f t="shared" si="1"/>
        <v>2021</v>
      </c>
      <c r="AU16" s="42">
        <f t="shared" si="1"/>
        <v>2021</v>
      </c>
      <c r="AV16" s="42">
        <f>$B$17+5</f>
        <v>2021</v>
      </c>
      <c r="AW16" s="42">
        <f>$B$17+6</f>
        <v>2022</v>
      </c>
      <c r="AX16" s="42">
        <f>$B$17+6</f>
        <v>2022</v>
      </c>
      <c r="AY16" s="42">
        <f>$B$17+6</f>
        <v>2022</v>
      </c>
      <c r="AZ16" s="42">
        <f>$B$17+6</f>
        <v>2022</v>
      </c>
      <c r="BA16" s="42">
        <f>$B$17+6</f>
        <v>2022</v>
      </c>
      <c r="BB16" s="42">
        <f>$B$17+7</f>
        <v>2023</v>
      </c>
      <c r="BC16" s="42">
        <f t="shared" ref="BC16:BF16" si="2">$B$17+7</f>
        <v>2023</v>
      </c>
      <c r="BD16" s="42">
        <f t="shared" si="2"/>
        <v>2023</v>
      </c>
      <c r="BE16" s="42">
        <f t="shared" si="2"/>
        <v>2023</v>
      </c>
      <c r="BF16" s="42">
        <f t="shared" si="2"/>
        <v>2023</v>
      </c>
      <c r="BG16" s="42">
        <v>2024</v>
      </c>
      <c r="BH16" s="42">
        <v>2024</v>
      </c>
      <c r="BI16" s="42">
        <v>2024</v>
      </c>
      <c r="BJ16" s="42">
        <v>2024</v>
      </c>
      <c r="BK16" s="42">
        <v>2024</v>
      </c>
      <c r="BL16" s="42">
        <f>BG16+1</f>
        <v>2025</v>
      </c>
      <c r="BM16" s="42">
        <f t="shared" ref="BM16:BP16" si="3">BH16+1</f>
        <v>2025</v>
      </c>
      <c r="BN16" s="42">
        <f t="shared" si="3"/>
        <v>2025</v>
      </c>
      <c r="BO16" s="42">
        <f t="shared" si="3"/>
        <v>2025</v>
      </c>
      <c r="BP16" s="42">
        <f t="shared" si="3"/>
        <v>2025</v>
      </c>
      <c r="BQ16" s="42">
        <f>BL16+1</f>
        <v>2026</v>
      </c>
      <c r="BR16" s="42">
        <f t="shared" ref="BR16" si="4">BM16+1</f>
        <v>2026</v>
      </c>
      <c r="BS16" s="42">
        <f t="shared" ref="BS16" si="5">BN16+1</f>
        <v>2026</v>
      </c>
      <c r="BT16" s="42">
        <f t="shared" ref="BT16" si="6">BO16+1</f>
        <v>2026</v>
      </c>
      <c r="BU16" s="42">
        <f t="shared" ref="BU16" si="7">BP16+1</f>
        <v>2026</v>
      </c>
      <c r="BV16" s="42">
        <f>BQ16+1</f>
        <v>2027</v>
      </c>
      <c r="BW16" s="42">
        <f t="shared" ref="BW16" si="8">BR16+1</f>
        <v>2027</v>
      </c>
      <c r="BX16" s="42">
        <f t="shared" ref="BX16" si="9">BS16+1</f>
        <v>2027</v>
      </c>
      <c r="BY16" s="42">
        <f t="shared" ref="BY16" si="10">BT16+1</f>
        <v>2027</v>
      </c>
      <c r="BZ16" s="42">
        <f t="shared" ref="BZ16" si="11">BU16+1</f>
        <v>2027</v>
      </c>
    </row>
    <row r="17" spans="1:78" ht="31.5" customHeight="1">
      <c r="A17" s="43" t="s">
        <v>57</v>
      </c>
      <c r="B17" s="44">
        <v>2016</v>
      </c>
      <c r="C17" s="88"/>
      <c r="D17" s="45" t="s">
        <v>54</v>
      </c>
      <c r="E17" s="45" t="s">
        <v>54</v>
      </c>
      <c r="F17" s="45" t="s">
        <v>54</v>
      </c>
      <c r="G17" s="45" t="s">
        <v>54</v>
      </c>
      <c r="H17" s="45" t="s">
        <v>54</v>
      </c>
      <c r="I17" s="109" t="s">
        <v>54</v>
      </c>
      <c r="J17" s="109" t="s">
        <v>54</v>
      </c>
      <c r="K17" s="109" t="s">
        <v>54</v>
      </c>
      <c r="L17" s="109" t="s">
        <v>54</v>
      </c>
      <c r="M17" s="110" t="s">
        <v>54</v>
      </c>
      <c r="N17" s="109" t="s">
        <v>54</v>
      </c>
      <c r="O17" s="110" t="s">
        <v>54</v>
      </c>
      <c r="P17" s="110" t="s">
        <v>54</v>
      </c>
      <c r="Q17" s="110" t="s">
        <v>54</v>
      </c>
      <c r="R17" s="110" t="s">
        <v>54</v>
      </c>
      <c r="S17" s="46" t="s">
        <v>54</v>
      </c>
      <c r="T17" s="45" t="s">
        <v>54</v>
      </c>
      <c r="U17" s="45" t="s">
        <v>54</v>
      </c>
      <c r="V17" s="45" t="s">
        <v>54</v>
      </c>
      <c r="W17" s="45" t="s">
        <v>54</v>
      </c>
      <c r="X17" s="46" t="s">
        <v>54</v>
      </c>
      <c r="Y17" s="45" t="s">
        <v>54</v>
      </c>
      <c r="Z17" s="45" t="s">
        <v>54</v>
      </c>
      <c r="AA17" s="45" t="s">
        <v>54</v>
      </c>
      <c r="AB17" s="45" t="s">
        <v>54</v>
      </c>
      <c r="AC17" s="46" t="s">
        <v>54</v>
      </c>
      <c r="AD17" s="45" t="s">
        <v>54</v>
      </c>
      <c r="AE17" s="45" t="s">
        <v>54</v>
      </c>
      <c r="AF17" s="45" t="s">
        <v>54</v>
      </c>
      <c r="AG17" s="45" t="s">
        <v>54</v>
      </c>
      <c r="AH17" s="46" t="s">
        <v>54</v>
      </c>
      <c r="AI17" s="45" t="s">
        <v>54</v>
      </c>
      <c r="AJ17" s="45" t="s">
        <v>54</v>
      </c>
      <c r="AK17" s="45" t="s">
        <v>54</v>
      </c>
      <c r="AL17" s="45" t="str">
        <f>+AK17</f>
        <v>A</v>
      </c>
      <c r="AM17" s="46" t="s">
        <v>54</v>
      </c>
      <c r="AN17" s="45" t="s">
        <v>54</v>
      </c>
      <c r="AO17" s="45" t="s">
        <v>54</v>
      </c>
      <c r="AP17" s="45" t="s">
        <v>54</v>
      </c>
      <c r="AQ17" s="45" t="str">
        <f>+AP17</f>
        <v>A</v>
      </c>
      <c r="AR17" s="46" t="s">
        <v>54</v>
      </c>
      <c r="AS17" s="45" t="s">
        <v>54</v>
      </c>
      <c r="AT17" s="45" t="s">
        <v>54</v>
      </c>
      <c r="AU17" s="45" t="s">
        <v>54</v>
      </c>
      <c r="AV17" s="45" t="str">
        <f>+AU17</f>
        <v>A</v>
      </c>
      <c r="AW17" s="46" t="s">
        <v>54</v>
      </c>
      <c r="AX17" s="45" t="s">
        <v>54</v>
      </c>
      <c r="AY17" s="45" t="s">
        <v>54</v>
      </c>
      <c r="AZ17" s="45" t="s">
        <v>54</v>
      </c>
      <c r="BA17" s="45" t="str">
        <f>+AZ17</f>
        <v>A</v>
      </c>
      <c r="BB17" s="46" t="s">
        <v>54</v>
      </c>
      <c r="BC17" s="45" t="s">
        <v>54</v>
      </c>
      <c r="BD17" s="45" t="s">
        <v>54</v>
      </c>
      <c r="BE17" s="45" t="s">
        <v>54</v>
      </c>
      <c r="BF17" s="45" t="str">
        <f>+BE17</f>
        <v>A</v>
      </c>
      <c r="BG17" s="45" t="str">
        <f>+BF17</f>
        <v>A</v>
      </c>
      <c r="BH17" s="45" t="s">
        <v>54</v>
      </c>
      <c r="BI17" s="45" t="s">
        <v>54</v>
      </c>
      <c r="BJ17" s="45" t="s">
        <v>54</v>
      </c>
      <c r="BK17" s="45" t="str">
        <f>+BJ17</f>
        <v>A</v>
      </c>
      <c r="BL17" s="46" t="s">
        <v>54</v>
      </c>
      <c r="BM17" s="45" t="s">
        <v>54</v>
      </c>
      <c r="BN17" s="45" t="s">
        <v>54</v>
      </c>
      <c r="BO17" s="45" t="s">
        <v>54</v>
      </c>
      <c r="BP17" s="45" t="str">
        <f>+BO17</f>
        <v>A</v>
      </c>
      <c r="BQ17" s="46" t="s">
        <v>53</v>
      </c>
      <c r="BR17" s="45" t="s">
        <v>53</v>
      </c>
      <c r="BS17" s="45" t="s">
        <v>53</v>
      </c>
      <c r="BT17" s="45" t="s">
        <v>53</v>
      </c>
      <c r="BU17" s="45" t="str">
        <f>+BT17</f>
        <v>E</v>
      </c>
      <c r="BV17" s="46" t="s">
        <v>53</v>
      </c>
      <c r="BW17" s="45" t="s">
        <v>53</v>
      </c>
      <c r="BX17" s="45" t="s">
        <v>53</v>
      </c>
      <c r="BY17" s="45" t="s">
        <v>53</v>
      </c>
      <c r="BZ17" s="45" t="str">
        <f>+BY17</f>
        <v>E</v>
      </c>
    </row>
    <row r="18" spans="1:78" s="49" customFormat="1" ht="30.75">
      <c r="A18" s="43" t="s">
        <v>58</v>
      </c>
      <c r="B18" s="108" t="s">
        <v>59</v>
      </c>
      <c r="C18" s="88"/>
      <c r="D18" s="47" t="str">
        <f>D16&amp;D19</f>
        <v>2013Q1</v>
      </c>
      <c r="E18" s="47" t="str">
        <f>E16&amp;E19</f>
        <v>2013Q2</v>
      </c>
      <c r="F18" s="47" t="str">
        <f>F16&amp;F19</f>
        <v>2013Q3</v>
      </c>
      <c r="G18" s="47" t="str">
        <f>G16&amp;G19</f>
        <v>2013Q4</v>
      </c>
      <c r="H18" s="47">
        <f>H16</f>
        <v>2013</v>
      </c>
      <c r="I18" s="48" t="str">
        <f>I16&amp;I19&amp;I17</f>
        <v>2014Q1A</v>
      </c>
      <c r="J18" s="47" t="str">
        <f>J16&amp;J19&amp;J17</f>
        <v>2014Q2A</v>
      </c>
      <c r="K18" s="47" t="str">
        <f>K16&amp;K19&amp;K17</f>
        <v>2014Q3A</v>
      </c>
      <c r="L18" s="47" t="str">
        <f>L16&amp;L19&amp;L17</f>
        <v>2014Q4A</v>
      </c>
      <c r="M18" s="47" t="str">
        <f>M16&amp;M17</f>
        <v>2014A</v>
      </c>
      <c r="N18" s="48" t="str">
        <f>N16&amp;N19&amp;N17</f>
        <v>2015Q1A</v>
      </c>
      <c r="O18" s="47" t="str">
        <f>O16&amp;O19&amp;O17</f>
        <v>2015Q2A</v>
      </c>
      <c r="P18" s="47" t="str">
        <f>P16&amp;P19&amp;P17</f>
        <v>2015Q3A</v>
      </c>
      <c r="Q18" s="47" t="str">
        <f>Q16&amp;Q19&amp;Q17</f>
        <v>2015Q4A</v>
      </c>
      <c r="R18" s="47" t="str">
        <f>R16&amp;R17</f>
        <v>2015A</v>
      </c>
      <c r="S18" s="48" t="str">
        <f>S16&amp;S19&amp;S17</f>
        <v>2016Q1A</v>
      </c>
      <c r="T18" s="47" t="str">
        <f>T16&amp;T19&amp;T17</f>
        <v>2016Q2A</v>
      </c>
      <c r="U18" s="47" t="str">
        <f>U16&amp;U19&amp;U17</f>
        <v>2016Q3A</v>
      </c>
      <c r="V18" s="47" t="str">
        <f>V16&amp;V19&amp;V17</f>
        <v>2016Q4A</v>
      </c>
      <c r="W18" s="47" t="str">
        <f>W16&amp;W17</f>
        <v>2016A</v>
      </c>
      <c r="X18" s="48" t="str">
        <f>X16&amp;X19&amp;X17</f>
        <v>2017Q1A</v>
      </c>
      <c r="Y18" s="47" t="str">
        <f>Y16&amp;Y19&amp;Y17</f>
        <v>2017Q2A</v>
      </c>
      <c r="Z18" s="47" t="str">
        <f>Z16&amp;Z19&amp;Z17</f>
        <v>2017Q3A</v>
      </c>
      <c r="AA18" s="47" t="str">
        <f>AA16&amp;AA19&amp;AA17</f>
        <v>2017Q4A</v>
      </c>
      <c r="AB18" s="47" t="str">
        <f>AB16&amp;AB17</f>
        <v>2017A</v>
      </c>
      <c r="AC18" s="48" t="str">
        <f>AC16&amp;AC19&amp;AC17</f>
        <v>2018Q1A</v>
      </c>
      <c r="AD18" s="47" t="str">
        <f>AD16&amp;AD19&amp;AD17</f>
        <v>2018Q2A</v>
      </c>
      <c r="AE18" s="47" t="str">
        <f>AE16&amp;AE19&amp;AE17</f>
        <v>2018Q3A</v>
      </c>
      <c r="AF18" s="47" t="str">
        <f>AF16&amp;AF19&amp;AF17</f>
        <v>2018Q4A</v>
      </c>
      <c r="AG18" s="47" t="str">
        <f>AG16&amp;AG17</f>
        <v>2018A</v>
      </c>
      <c r="AH18" s="48" t="str">
        <f>AH16&amp;AH19&amp;AH17</f>
        <v>2019Q1A</v>
      </c>
      <c r="AI18" s="47" t="str">
        <f>AI16&amp;AI19&amp;AI17</f>
        <v>2019Q2A</v>
      </c>
      <c r="AJ18" s="47" t="str">
        <f>AJ16&amp;AJ19&amp;AJ17</f>
        <v>2019Q3A</v>
      </c>
      <c r="AK18" s="47" t="str">
        <f>AK16&amp;AK19&amp;AK17</f>
        <v>2019Q4A</v>
      </c>
      <c r="AL18" s="47" t="str">
        <f>AL16&amp;AL17</f>
        <v>2019A</v>
      </c>
      <c r="AM18" s="48" t="str">
        <f>AM16&amp;AM19&amp;AM17</f>
        <v>2020Q1A</v>
      </c>
      <c r="AN18" s="47" t="str">
        <f>AN16&amp;AN19&amp;AN17</f>
        <v>2020Q2A</v>
      </c>
      <c r="AO18" s="47" t="str">
        <f>AO16&amp;AO19&amp;AO17</f>
        <v>2020Q3A</v>
      </c>
      <c r="AP18" s="47" t="str">
        <f>AP16&amp;AP19&amp;AP17</f>
        <v>2020Q4A</v>
      </c>
      <c r="AQ18" s="47" t="str">
        <f>AQ16&amp;AQ17</f>
        <v>2020A</v>
      </c>
      <c r="AR18" s="48" t="str">
        <f>AR16&amp;AR19&amp;AR17</f>
        <v>2021Q1A</v>
      </c>
      <c r="AS18" s="47" t="str">
        <f>AS16&amp;AS19&amp;AS17</f>
        <v>2021Q2A</v>
      </c>
      <c r="AT18" s="47" t="str">
        <f>AT16&amp;AT19&amp;AT17</f>
        <v>2021Q3A</v>
      </c>
      <c r="AU18" s="47" t="str">
        <f>AU16&amp;AU19&amp;AU17</f>
        <v>2021Q4A</v>
      </c>
      <c r="AV18" s="47" t="str">
        <f>AV16&amp;AV17</f>
        <v>2021A</v>
      </c>
      <c r="AW18" s="48" t="str">
        <f>AW16&amp;AW19&amp;AW17</f>
        <v>2022Q1A</v>
      </c>
      <c r="AX18" s="47" t="str">
        <f>AX16&amp;AX19&amp;AX17</f>
        <v>2022Q2A</v>
      </c>
      <c r="AY18" s="47" t="str">
        <f>AY16&amp;AY19&amp;AY17</f>
        <v>2022Q3A</v>
      </c>
      <c r="AZ18" s="47" t="str">
        <f>AZ16&amp;AZ19&amp;AZ17</f>
        <v>2022Q4A</v>
      </c>
      <c r="BA18" s="47" t="str">
        <f>BA16&amp;BA17</f>
        <v>2022A</v>
      </c>
      <c r="BB18" s="48" t="str">
        <f>BB16&amp;BB19&amp;BB17</f>
        <v>2023Q1A</v>
      </c>
      <c r="BC18" s="47" t="str">
        <f>BC16&amp;BC19&amp;BC17</f>
        <v>2023Q2A</v>
      </c>
      <c r="BD18" s="47" t="str">
        <f>BD16&amp;BD19&amp;BD17</f>
        <v>2023Q3A</v>
      </c>
      <c r="BE18" s="47" t="str">
        <f>BE16&amp;BE19&amp;BE17</f>
        <v>2023Q4A</v>
      </c>
      <c r="BF18" s="47" t="str">
        <f>BF16&amp;BF17</f>
        <v>2023A</v>
      </c>
      <c r="BG18" s="48" t="str">
        <f>BG16&amp;BG19&amp;BG17</f>
        <v>2024Q1A</v>
      </c>
      <c r="BH18" s="47" t="str">
        <f>BH16&amp;BH19&amp;BH17</f>
        <v>2024Q2A</v>
      </c>
      <c r="BI18" s="47" t="str">
        <f>BI16&amp;BI19&amp;BI17</f>
        <v>2024Q3A</v>
      </c>
      <c r="BJ18" s="47" t="str">
        <f>BJ16&amp;BJ19&amp;BJ17</f>
        <v>2024Q4A</v>
      </c>
      <c r="BK18" s="47" t="str">
        <f>BK16&amp;BK17</f>
        <v>2024A</v>
      </c>
      <c r="BL18" s="48" t="str">
        <f>BL16&amp;BL19&amp;BL17</f>
        <v>2025Q1A</v>
      </c>
      <c r="BM18" s="47" t="str">
        <f>BM16&amp;BM19&amp;BM17</f>
        <v>2025Q2A</v>
      </c>
      <c r="BN18" s="47" t="str">
        <f>BN16&amp;BN19&amp;BN17</f>
        <v>2025Q3A</v>
      </c>
      <c r="BO18" s="47" t="str">
        <f>BO16&amp;BO19&amp;BO17</f>
        <v>2025Q4A</v>
      </c>
      <c r="BP18" s="47" t="str">
        <f>BP16&amp;BP17</f>
        <v>2025A</v>
      </c>
      <c r="BQ18" s="48" t="str">
        <f>BQ16&amp;BQ19&amp;BQ17</f>
        <v>2026Q1E</v>
      </c>
      <c r="BR18" s="47" t="str">
        <f>BR16&amp;BR19&amp;BR17</f>
        <v>2026Q2E</v>
      </c>
      <c r="BS18" s="47" t="str">
        <f>BS16&amp;BS19&amp;BS17</f>
        <v>2026Q3E</v>
      </c>
      <c r="BT18" s="47" t="str">
        <f>BT16&amp;BT19&amp;BT17</f>
        <v>2026Q4E</v>
      </c>
      <c r="BU18" s="47" t="str">
        <f>BU16&amp;BU17</f>
        <v>2026E</v>
      </c>
      <c r="BV18" s="48" t="str">
        <f>BV16&amp;BV19&amp;BV17</f>
        <v>2027Q1E</v>
      </c>
      <c r="BW18" s="47" t="str">
        <f>BW16&amp;BW19&amp;BW17</f>
        <v>2027Q2E</v>
      </c>
      <c r="BX18" s="47" t="str">
        <f>BX16&amp;BX19&amp;BX17</f>
        <v>2027Q3E</v>
      </c>
      <c r="BY18" s="47" t="str">
        <f>BY16&amp;BY19&amp;BY17</f>
        <v>2027Q4E</v>
      </c>
      <c r="BZ18" s="47" t="str">
        <f>BZ16&amp;BZ17</f>
        <v>2027E</v>
      </c>
    </row>
    <row r="19" spans="1:78" s="54" customFormat="1" ht="16.5" customHeight="1">
      <c r="A19" s="50"/>
      <c r="B19" s="51"/>
      <c r="C19" s="89"/>
      <c r="D19" s="52" t="s">
        <v>60</v>
      </c>
      <c r="E19" s="52" t="s">
        <v>59</v>
      </c>
      <c r="F19" s="52" t="s">
        <v>61</v>
      </c>
      <c r="G19" s="52" t="s">
        <v>62</v>
      </c>
      <c r="H19" s="52" t="s">
        <v>63</v>
      </c>
      <c r="I19" s="53" t="s">
        <v>60</v>
      </c>
      <c r="J19" s="52" t="s">
        <v>59</v>
      </c>
      <c r="K19" s="52" t="s">
        <v>61</v>
      </c>
      <c r="L19" s="52" t="s">
        <v>62</v>
      </c>
      <c r="M19" s="52" t="s">
        <v>63</v>
      </c>
      <c r="N19" s="53" t="s">
        <v>60</v>
      </c>
      <c r="O19" s="52" t="s">
        <v>59</v>
      </c>
      <c r="P19" s="52" t="s">
        <v>61</v>
      </c>
      <c r="Q19" s="52" t="s">
        <v>62</v>
      </c>
      <c r="R19" s="52" t="s">
        <v>63</v>
      </c>
      <c r="S19" s="53" t="s">
        <v>60</v>
      </c>
      <c r="T19" s="52" t="s">
        <v>59</v>
      </c>
      <c r="U19" s="52" t="s">
        <v>61</v>
      </c>
      <c r="V19" s="52" t="s">
        <v>62</v>
      </c>
      <c r="W19" s="52" t="s">
        <v>63</v>
      </c>
      <c r="X19" s="53" t="s">
        <v>60</v>
      </c>
      <c r="Y19" s="52" t="s">
        <v>59</v>
      </c>
      <c r="Z19" s="52" t="s">
        <v>61</v>
      </c>
      <c r="AA19" s="52" t="s">
        <v>62</v>
      </c>
      <c r="AB19" s="52" t="s">
        <v>63</v>
      </c>
      <c r="AC19" s="53" t="s">
        <v>60</v>
      </c>
      <c r="AD19" s="52" t="s">
        <v>59</v>
      </c>
      <c r="AE19" s="52" t="s">
        <v>61</v>
      </c>
      <c r="AF19" s="52" t="s">
        <v>62</v>
      </c>
      <c r="AG19" s="52" t="s">
        <v>63</v>
      </c>
      <c r="AH19" s="53" t="s">
        <v>60</v>
      </c>
      <c r="AI19" s="52" t="s">
        <v>59</v>
      </c>
      <c r="AJ19" s="52" t="s">
        <v>61</v>
      </c>
      <c r="AK19" s="52" t="s">
        <v>62</v>
      </c>
      <c r="AL19" s="52" t="s">
        <v>63</v>
      </c>
      <c r="AM19" s="53" t="s">
        <v>60</v>
      </c>
      <c r="AN19" s="52" t="s">
        <v>59</v>
      </c>
      <c r="AO19" s="52" t="s">
        <v>61</v>
      </c>
      <c r="AP19" s="52" t="s">
        <v>62</v>
      </c>
      <c r="AQ19" s="52" t="s">
        <v>63</v>
      </c>
      <c r="AR19" s="53" t="s">
        <v>60</v>
      </c>
      <c r="AS19" s="52" t="s">
        <v>59</v>
      </c>
      <c r="AT19" s="52" t="s">
        <v>61</v>
      </c>
      <c r="AU19" s="52" t="s">
        <v>62</v>
      </c>
      <c r="AV19" s="52" t="s">
        <v>63</v>
      </c>
      <c r="AW19" s="53" t="s">
        <v>60</v>
      </c>
      <c r="AX19" s="52" t="s">
        <v>59</v>
      </c>
      <c r="AY19" s="52" t="s">
        <v>61</v>
      </c>
      <c r="AZ19" s="52" t="s">
        <v>62</v>
      </c>
      <c r="BA19" s="52" t="s">
        <v>63</v>
      </c>
      <c r="BB19" s="53" t="s">
        <v>60</v>
      </c>
      <c r="BC19" s="52" t="s">
        <v>59</v>
      </c>
      <c r="BD19" s="52" t="s">
        <v>61</v>
      </c>
      <c r="BE19" s="52" t="s">
        <v>62</v>
      </c>
      <c r="BF19" s="52" t="s">
        <v>63</v>
      </c>
      <c r="BG19" s="53" t="s">
        <v>60</v>
      </c>
      <c r="BH19" s="52" t="s">
        <v>59</v>
      </c>
      <c r="BI19" s="52" t="s">
        <v>61</v>
      </c>
      <c r="BJ19" s="52" t="s">
        <v>62</v>
      </c>
      <c r="BK19" s="52" t="s">
        <v>63</v>
      </c>
      <c r="BL19" s="53" t="s">
        <v>60</v>
      </c>
      <c r="BM19" s="52" t="s">
        <v>59</v>
      </c>
      <c r="BN19" s="52" t="s">
        <v>61</v>
      </c>
      <c r="BO19" s="52" t="s">
        <v>62</v>
      </c>
      <c r="BP19" s="52" t="s">
        <v>63</v>
      </c>
      <c r="BQ19" s="53" t="s">
        <v>60</v>
      </c>
      <c r="BR19" s="52" t="s">
        <v>59</v>
      </c>
      <c r="BS19" s="52" t="s">
        <v>61</v>
      </c>
      <c r="BT19" s="52" t="s">
        <v>62</v>
      </c>
      <c r="BU19" s="52" t="s">
        <v>63</v>
      </c>
      <c r="BV19" s="53" t="s">
        <v>60</v>
      </c>
      <c r="BW19" s="52" t="s">
        <v>59</v>
      </c>
      <c r="BX19" s="52" t="s">
        <v>61</v>
      </c>
      <c r="BY19" s="52" t="s">
        <v>62</v>
      </c>
      <c r="BZ19" s="52" t="s">
        <v>63</v>
      </c>
    </row>
    <row r="20" spans="1:78" ht="16.5" customHeight="1">
      <c r="A20" s="55" t="s">
        <v>64</v>
      </c>
      <c r="B20" s="56"/>
      <c r="C20" s="57"/>
      <c r="D20" s="90" t="str">
        <f>($B$45&amp;"/"&amp;31&amp;"/"&amp;(D16+$D$45))</f>
        <v>3/31/2013</v>
      </c>
      <c r="E20" s="91" t="str">
        <f>$B$46&amp;"/"&amp;31&amp;"/"&amp;(E16+$D$46)</f>
        <v>6/31/2013</v>
      </c>
      <c r="F20" s="91" t="str">
        <f>$B$47&amp;"/"&amp;31&amp;"/"&amp;(F16+$D$47)</f>
        <v>9/31/2013</v>
      </c>
      <c r="G20" s="91" t="str">
        <f>$B$48&amp;"/"&amp;31&amp;"/"&amp;(G16+$D$48)</f>
        <v>12/31/2013</v>
      </c>
      <c r="H20" s="92" t="str">
        <f>G20</f>
        <v>12/31/2013</v>
      </c>
      <c r="I20" s="90" t="str">
        <f>($B$45&amp;"/"&amp;31&amp;"/"&amp;(I16+$D$45))</f>
        <v>3/31/2014</v>
      </c>
      <c r="J20" s="91" t="str">
        <f>$B$46&amp;"/"&amp;31&amp;"/"&amp;(J16+$D$46)</f>
        <v>6/31/2014</v>
      </c>
      <c r="K20" s="91" t="str">
        <f>$B$47&amp;"/"&amp;31&amp;"/"&amp;(K16+$D$47)</f>
        <v>9/31/2014</v>
      </c>
      <c r="L20" s="91" t="str">
        <f>$B$48&amp;"/"&amp;31&amp;"/"&amp;(L16+$D$48)</f>
        <v>12/31/2014</v>
      </c>
      <c r="M20" s="92" t="str">
        <f>L20</f>
        <v>12/31/2014</v>
      </c>
      <c r="N20" s="90" t="str">
        <f>($B$45&amp;"/"&amp;31&amp;"/"&amp;(N16+$D$45))</f>
        <v>3/31/2015</v>
      </c>
      <c r="O20" s="91" t="str">
        <f>$B$46&amp;"/"&amp;31&amp;"/"&amp;(O16+$D$46)</f>
        <v>6/31/2015</v>
      </c>
      <c r="P20" s="91" t="str">
        <f>$B$47&amp;"/"&amp;31&amp;"/"&amp;(P16+$D$47)</f>
        <v>9/31/2015</v>
      </c>
      <c r="Q20" s="91" t="str">
        <f>$B$48&amp;"/"&amp;31&amp;"/"&amp;(Q16+$D$48)</f>
        <v>12/31/2015</v>
      </c>
      <c r="R20" s="92" t="str">
        <f>Q20</f>
        <v>12/31/2015</v>
      </c>
      <c r="S20" s="90" t="str">
        <f>($B$45&amp;"/"&amp;31&amp;"/"&amp;(S16+$D$45))</f>
        <v>3/31/2016</v>
      </c>
      <c r="T20" s="91" t="str">
        <f>$B$46&amp;"/"&amp;31&amp;"/"&amp;(T16+$D$46)</f>
        <v>6/31/2016</v>
      </c>
      <c r="U20" s="91" t="str">
        <f>$B$47&amp;"/"&amp;31&amp;"/"&amp;(U16+$D$47)</f>
        <v>9/31/2016</v>
      </c>
      <c r="V20" s="91" t="str">
        <f>$B$48&amp;"/"&amp;31&amp;"/"&amp;(V16+$D$48)</f>
        <v>12/31/2016</v>
      </c>
      <c r="W20" s="92" t="str">
        <f>V20</f>
        <v>12/31/2016</v>
      </c>
      <c r="X20" s="90" t="str">
        <f>($B$45&amp;"/"&amp;31&amp;"/"&amp;(X16+$D$45))</f>
        <v>3/31/2017</v>
      </c>
      <c r="Y20" s="91" t="str">
        <f>$B$46&amp;"/"&amp;31&amp;"/"&amp;(Y16+$D$46)</f>
        <v>6/31/2017</v>
      </c>
      <c r="Z20" s="91" t="str">
        <f>$B$47&amp;"/"&amp;31&amp;"/"&amp;(Z16+$D$47)</f>
        <v>9/31/2017</v>
      </c>
      <c r="AA20" s="91" t="str">
        <f>$B$48&amp;"/"&amp;31&amp;"/"&amp;(AA16+$D$48)</f>
        <v>12/31/2017</v>
      </c>
      <c r="AB20" s="92" t="str">
        <f>AA20</f>
        <v>12/31/2017</v>
      </c>
      <c r="AC20" s="90" t="str">
        <f>($B$45&amp;"/"&amp;31&amp;"/"&amp;(AC16+$D$45))</f>
        <v>3/31/2018</v>
      </c>
      <c r="AD20" s="91" t="str">
        <f>$B$46&amp;"/"&amp;31&amp;"/"&amp;(AD16+$D$46)</f>
        <v>6/31/2018</v>
      </c>
      <c r="AE20" s="91" t="str">
        <f>$B$47&amp;"/"&amp;31&amp;"/"&amp;(AE16+$D$47)</f>
        <v>9/31/2018</v>
      </c>
      <c r="AF20" s="91" t="str">
        <f>$B$48&amp;"/"&amp;31&amp;"/"&amp;(AF16+$D$48)</f>
        <v>12/31/2018</v>
      </c>
      <c r="AG20" s="92" t="str">
        <f>AF20</f>
        <v>12/31/2018</v>
      </c>
      <c r="AH20" s="90" t="str">
        <f>($B$45&amp;"/"&amp;31&amp;"/"&amp;(AH16+$D$45))</f>
        <v>3/31/2019</v>
      </c>
      <c r="AI20" s="91" t="str">
        <f>$B$46&amp;"/"&amp;31&amp;"/"&amp;(AI16+$D$46)</f>
        <v>6/31/2019</v>
      </c>
      <c r="AJ20" s="91" t="str">
        <f>$B$47&amp;"/"&amp;31&amp;"/"&amp;(AJ16+$D$47)</f>
        <v>9/31/2019</v>
      </c>
      <c r="AK20" s="91" t="str">
        <f>$B$48&amp;"/"&amp;31&amp;"/"&amp;(AK16+$D$48)</f>
        <v>12/31/2019</v>
      </c>
      <c r="AL20" s="92" t="str">
        <f>AK20</f>
        <v>12/31/2019</v>
      </c>
      <c r="AM20" s="90" t="str">
        <f>($B$45&amp;"/"&amp;31&amp;"/"&amp;(AM16+$D$45))</f>
        <v>3/31/2020</v>
      </c>
      <c r="AN20" s="91" t="str">
        <f>$B$46&amp;"/"&amp;31&amp;"/"&amp;(AN16+$D$46)</f>
        <v>6/31/2020</v>
      </c>
      <c r="AO20" s="91" t="str">
        <f>$B$47&amp;"/"&amp;31&amp;"/"&amp;(AO16+$D$47)</f>
        <v>9/31/2020</v>
      </c>
      <c r="AP20" s="91" t="str">
        <f>$B$48&amp;"/"&amp;31&amp;"/"&amp;(AP16+$D$48)</f>
        <v>12/31/2020</v>
      </c>
      <c r="AQ20" s="92" t="str">
        <f>AP20</f>
        <v>12/31/2020</v>
      </c>
      <c r="AR20" s="90" t="str">
        <f>($B$45&amp;"/"&amp;31&amp;"/"&amp;(AR16+$D$45))</f>
        <v>3/31/2021</v>
      </c>
      <c r="AS20" s="91" t="str">
        <f>$B$46&amp;"/"&amp;31&amp;"/"&amp;(AS16+$D$46)</f>
        <v>6/31/2021</v>
      </c>
      <c r="AT20" s="91" t="str">
        <f>$B$47&amp;"/"&amp;31&amp;"/"&amp;(AT16+$D$47)</f>
        <v>9/31/2021</v>
      </c>
      <c r="AU20" s="91" t="str">
        <f>$B$48&amp;"/"&amp;31&amp;"/"&amp;(AU16+$D$48)</f>
        <v>12/31/2021</v>
      </c>
      <c r="AV20" s="92" t="str">
        <f>AU20</f>
        <v>12/31/2021</v>
      </c>
      <c r="AW20" s="90" t="str">
        <f>($B$45&amp;"/"&amp;31&amp;"/"&amp;(AW16+$D$45))</f>
        <v>3/31/2022</v>
      </c>
      <c r="AX20" s="91" t="str">
        <f>$B$46&amp;"/"&amp;31&amp;"/"&amp;(AX16+$D$46)</f>
        <v>6/31/2022</v>
      </c>
      <c r="AY20" s="91" t="str">
        <f>$B$47&amp;"/"&amp;31&amp;"/"&amp;(AY16+$D$47)</f>
        <v>9/31/2022</v>
      </c>
      <c r="AZ20" s="91" t="str">
        <f>$B$48&amp;"/"&amp;31&amp;"/"&amp;(AZ16+$D$48)</f>
        <v>12/31/2022</v>
      </c>
      <c r="BA20" s="92" t="str">
        <f>AZ20</f>
        <v>12/31/2022</v>
      </c>
      <c r="BB20" s="90" t="str">
        <f>($B$45&amp;"/"&amp;31&amp;"/"&amp;(BB16+$D$45))</f>
        <v>3/31/2023</v>
      </c>
      <c r="BC20" s="91" t="str">
        <f>$B$46&amp;"/"&amp;31&amp;"/"&amp;(BC16+$D$46)</f>
        <v>6/31/2023</v>
      </c>
      <c r="BD20" s="91" t="str">
        <f>$B$47&amp;"/"&amp;31&amp;"/"&amp;(BD16+$D$47)</f>
        <v>9/31/2023</v>
      </c>
      <c r="BE20" s="91" t="str">
        <f>$B$48&amp;"/"&amp;31&amp;"/"&amp;(BE16+$D$48)</f>
        <v>12/31/2023</v>
      </c>
      <c r="BF20" s="92" t="str">
        <f>BE20</f>
        <v>12/31/2023</v>
      </c>
      <c r="BG20" s="90" t="str">
        <f>($B$45&amp;"/"&amp;31&amp;"/"&amp;(BG16+$D$45))</f>
        <v>3/31/2024</v>
      </c>
      <c r="BH20" s="91" t="str">
        <f>$B$46&amp;"/"&amp;31&amp;"/"&amp;(BH16+$D$46)</f>
        <v>6/31/2024</v>
      </c>
      <c r="BI20" s="91" t="str">
        <f>$B$47&amp;"/"&amp;31&amp;"/"&amp;(BI16+$D$47)</f>
        <v>9/31/2024</v>
      </c>
      <c r="BJ20" s="91" t="str">
        <f>$B$48&amp;"/"&amp;31&amp;"/"&amp;(BJ16+$D$48)</f>
        <v>12/31/2024</v>
      </c>
      <c r="BK20" s="92" t="str">
        <f>BJ20</f>
        <v>12/31/2024</v>
      </c>
      <c r="BL20" s="90" t="str">
        <f>($B$45&amp;"/"&amp;31&amp;"/"&amp;(BL16+$D$45))</f>
        <v>3/31/2025</v>
      </c>
      <c r="BM20" s="91" t="str">
        <f>$B$46&amp;"/"&amp;31&amp;"/"&amp;(BM16+$D$46)</f>
        <v>6/31/2025</v>
      </c>
      <c r="BN20" s="91" t="str">
        <f>$B$47&amp;"/"&amp;31&amp;"/"&amp;(BN16+$D$47)</f>
        <v>9/31/2025</v>
      </c>
      <c r="BO20" s="91" t="str">
        <f>$B$48&amp;"/"&amp;31&amp;"/"&amp;(BO16+$D$48)</f>
        <v>12/31/2025</v>
      </c>
      <c r="BP20" s="92" t="str">
        <f>BO20</f>
        <v>12/31/2025</v>
      </c>
      <c r="BQ20" s="90" t="str">
        <f>($B$45&amp;"/"&amp;31&amp;"/"&amp;(BQ16+$D$45))</f>
        <v>3/31/2026</v>
      </c>
      <c r="BR20" s="91" t="str">
        <f>$B$46&amp;"/"&amp;31&amp;"/"&amp;(BR16+$D$46)</f>
        <v>6/31/2026</v>
      </c>
      <c r="BS20" s="91" t="str">
        <f>$B$47&amp;"/"&amp;31&amp;"/"&amp;(BS16+$D$47)</f>
        <v>9/31/2026</v>
      </c>
      <c r="BT20" s="91" t="str">
        <f>$B$48&amp;"/"&amp;31&amp;"/"&amp;(BT16+$D$48)</f>
        <v>12/31/2026</v>
      </c>
      <c r="BU20" s="92" t="str">
        <f>BT20</f>
        <v>12/31/2026</v>
      </c>
      <c r="BV20" s="90" t="str">
        <f>($B$45&amp;"/"&amp;31&amp;"/"&amp;(BV16+$D$45))</f>
        <v>3/31/2027</v>
      </c>
      <c r="BW20" s="91" t="str">
        <f>$B$46&amp;"/"&amp;31&amp;"/"&amp;(BW16+$D$46)</f>
        <v>6/31/2027</v>
      </c>
      <c r="BX20" s="91" t="str">
        <f>$B$47&amp;"/"&amp;31&amp;"/"&amp;(BX16+$D$47)</f>
        <v>9/31/2027</v>
      </c>
      <c r="BY20" s="91" t="str">
        <f>$B$48&amp;"/"&amp;31&amp;"/"&amp;(BY16+$D$48)</f>
        <v>12/31/2027</v>
      </c>
      <c r="BZ20" s="92" t="str">
        <f>BY20</f>
        <v>12/31/2027</v>
      </c>
    </row>
    <row r="21" spans="1:78" ht="17.649999999999999">
      <c r="A21" s="58" t="s">
        <v>65</v>
      </c>
      <c r="B21" s="93" t="s">
        <v>66</v>
      </c>
      <c r="C21" s="59"/>
      <c r="D21" s="60">
        <f>+IS!I9/1000</f>
        <v>24.882999999999999</v>
      </c>
      <c r="E21" s="60">
        <f>+IS!J9/1000</f>
        <v>26.291</v>
      </c>
      <c r="F21" s="60">
        <f>+IS!K9/1000</f>
        <v>27.748999999999999</v>
      </c>
      <c r="G21" s="60">
        <f>+IS!L9/1000</f>
        <v>29.039000000000012</v>
      </c>
      <c r="H21" s="60">
        <f>+IS!M9/1000</f>
        <v>107.96200000000002</v>
      </c>
      <c r="I21" s="60">
        <f>+IS!N9/1000</f>
        <v>30.356000000000002</v>
      </c>
      <c r="J21" s="60">
        <f>+IS!O9/1000</f>
        <v>32.302</v>
      </c>
      <c r="K21" s="60">
        <f>+IS!P9/1000</f>
        <v>34.347999999999999</v>
      </c>
      <c r="L21" s="60">
        <f>+IS!Q9/1000</f>
        <v>36.573</v>
      </c>
      <c r="M21" s="60">
        <f>+IS!R9/1000</f>
        <v>133.57900000000001</v>
      </c>
      <c r="N21" s="60">
        <f>+IS!S9/1000</f>
        <v>37.493000000000002</v>
      </c>
      <c r="O21" s="60">
        <f>+IS!T9/1000</f>
        <v>39.877000000000002</v>
      </c>
      <c r="P21" s="60">
        <f>+IS!U9/1000</f>
        <v>42.469000000000001</v>
      </c>
      <c r="Q21" s="60">
        <f>+IS!V9/1000</f>
        <v>44.445</v>
      </c>
      <c r="R21" s="60">
        <f>+IS!W9/1000</f>
        <v>164.28399999999999</v>
      </c>
      <c r="S21" s="60">
        <f>+IS!X9/1000</f>
        <v>46.247999999999998</v>
      </c>
      <c r="T21" s="60">
        <f>+IS!Y9/1000</f>
        <v>48.466000000000001</v>
      </c>
      <c r="U21" s="60">
        <f>+IS!Z9/1000</f>
        <v>50.987000000000002</v>
      </c>
      <c r="V21" s="60">
        <f>+IS!AA9/1000</f>
        <v>52.223999999999997</v>
      </c>
      <c r="W21" s="60">
        <f>+IS!AB9/1000</f>
        <v>197.92500000000001</v>
      </c>
      <c r="X21" s="60">
        <f>+IS!AC9/1000</f>
        <v>53.121000000000002</v>
      </c>
      <c r="Y21" s="60">
        <f>+IS!AD9/1000</f>
        <v>55.302</v>
      </c>
      <c r="Z21" s="60">
        <f>+IS!AE9/1000</f>
        <v>59.49</v>
      </c>
      <c r="AA21" s="60">
        <f>+IS!AF9/1000</f>
        <v>62.914999999999999</v>
      </c>
      <c r="AB21" s="60">
        <f>+IS!AG9/1000</f>
        <v>230.828</v>
      </c>
      <c r="AC21" s="60">
        <f>+IS!AH9/1000</f>
        <v>64.878</v>
      </c>
      <c r="AD21" s="60">
        <f>+IS!AI9/1000</f>
        <v>68.153000000000006</v>
      </c>
      <c r="AE21" s="60">
        <f>+IS!AJ9/1000</f>
        <v>71.658000000000001</v>
      </c>
      <c r="AF21" s="628">
        <f>+IS!AK9/1000</f>
        <v>74.2</v>
      </c>
      <c r="AG21" s="60">
        <f>+IS!AL9/1000</f>
        <v>278.88900000000001</v>
      </c>
      <c r="AH21" s="60">
        <f>+IS!AM9/1000</f>
        <v>75.343000000000004</v>
      </c>
      <c r="AI21" s="60">
        <f>+IS!AN9/1000</f>
        <v>78.929000000000002</v>
      </c>
      <c r="AJ21" s="60">
        <f>+IS!AO9/1000</f>
        <v>82.671000000000006</v>
      </c>
      <c r="AK21" s="60">
        <f>+IS!AP9/1000</f>
        <v>84.664000000000001</v>
      </c>
      <c r="AL21" s="390">
        <f>+IS!AQ9/1000</f>
        <v>321.60700000000003</v>
      </c>
      <c r="AM21" s="60">
        <f>+IS!AR9/1000</f>
        <v>86.263000000000005</v>
      </c>
      <c r="AN21" s="60">
        <f>+IS!AS9/1000</f>
        <v>88.83</v>
      </c>
      <c r="AO21" s="60">
        <f>+IS!AT9/1000</f>
        <v>93.069000000000003</v>
      </c>
      <c r="AP21" s="60">
        <f>+IS!AU9/1000</f>
        <v>94.801000000000002</v>
      </c>
      <c r="AQ21" s="390">
        <f>+IS!AV9/1000</f>
        <v>362.96300000000002</v>
      </c>
      <c r="AR21" s="60">
        <f>+IS!AW9/1000</f>
        <v>96.756</v>
      </c>
      <c r="AS21" s="60">
        <f>+IS!AX9/1000</f>
        <v>99.701999999999998</v>
      </c>
      <c r="AT21" s="60">
        <f>+IS!AY9/1000</f>
        <v>104.934</v>
      </c>
      <c r="AU21" s="60">
        <f>+IS!AZ9/1000</f>
        <v>109.78</v>
      </c>
      <c r="AV21" s="390">
        <f>+IS!BA9/1000</f>
        <v>411.17200000000003</v>
      </c>
      <c r="AW21" s="60">
        <f>+IS!BB9/1000</f>
        <v>113.42</v>
      </c>
      <c r="AX21" s="60">
        <f>+IS!BC9/1000</f>
        <v>119.893</v>
      </c>
      <c r="AY21" s="60">
        <f>+IS!BD9/1000</f>
        <v>125.56100000000001</v>
      </c>
      <c r="AZ21" s="60">
        <f>+IS!BE9/1000</f>
        <v>130.84899999999999</v>
      </c>
      <c r="BA21" s="390">
        <f>+IS!BF9/1000</f>
        <v>489.72300000000001</v>
      </c>
      <c r="BB21" s="60">
        <f>+IS!BG9/1000</f>
        <v>130.68299999999999</v>
      </c>
      <c r="BC21" s="60">
        <f>+IS!BH9/1000</f>
        <v>137.209</v>
      </c>
      <c r="BD21" s="60">
        <f>+IS!BI9/1000</f>
        <v>141.99600000000001</v>
      </c>
      <c r="BE21" s="60">
        <f>+IS!BJ9/1000</f>
        <v>144.57</v>
      </c>
      <c r="BF21" s="390">
        <f>+IS!BK9/1000</f>
        <v>554.45799999999997</v>
      </c>
      <c r="BG21" s="60">
        <f>+IS!BL9/1000</f>
        <v>145.80500000000001</v>
      </c>
      <c r="BH21" s="60">
        <f>+IS!BM9/1000</f>
        <v>148.708</v>
      </c>
      <c r="BI21" s="60">
        <f>+IS!BN9/1000</f>
        <v>153.86699999999999</v>
      </c>
      <c r="BJ21" s="60">
        <f>+IS!BO9/1000</f>
        <v>159.191</v>
      </c>
      <c r="BK21" s="390">
        <f>+IS!BP9/1000</f>
        <v>607.57100000000003</v>
      </c>
      <c r="BL21" s="60">
        <f>+IS!BQ9/1000</f>
        <v>159.899</v>
      </c>
      <c r="BM21" s="60">
        <f>+IS!BR9/1000</f>
        <v>164.06200000000001</v>
      </c>
      <c r="BN21" s="60">
        <f>+IS!BS9/1000</f>
        <v>169.88200000000001</v>
      </c>
      <c r="BO21" s="60">
        <f>+IS!BT9/1000</f>
        <v>175.28200000000001</v>
      </c>
      <c r="BP21" s="390">
        <f>+IS!BU9/1000</f>
        <v>669.125</v>
      </c>
      <c r="BQ21" s="60">
        <f>+IS!BV9/1000</f>
        <v>173.49041500000001</v>
      </c>
      <c r="BR21" s="60">
        <f>+IS!BW9/1000</f>
        <v>177.18696000000003</v>
      </c>
      <c r="BS21" s="60">
        <f>+IS!BX9/1000</f>
        <v>182.62314999999998</v>
      </c>
      <c r="BT21" s="60">
        <f>+IS!BY9/1000</f>
        <v>187.55174000000002</v>
      </c>
      <c r="BU21" s="390">
        <f>+IS!BZ9/1000</f>
        <v>720.8522650000001</v>
      </c>
      <c r="BV21" s="60">
        <f>+IS!CA9/1000</f>
        <v>187.36964820000003</v>
      </c>
      <c r="BW21" s="60">
        <f>+IS!CB9/1000</f>
        <v>189.59004720000004</v>
      </c>
      <c r="BX21" s="60">
        <f>+IS!CC9/1000</f>
        <v>193.58053899999999</v>
      </c>
      <c r="BY21" s="60">
        <f>+IS!CD9/1000</f>
        <v>198.80484440000004</v>
      </c>
      <c r="BZ21" s="390">
        <f>+IS!CE9/1000</f>
        <v>769.34507880000012</v>
      </c>
    </row>
    <row r="22" spans="1:78" s="63" customFormat="1" ht="17.649999999999999">
      <c r="A22" s="61"/>
      <c r="B22" s="62" t="s">
        <v>67</v>
      </c>
      <c r="C22" s="94"/>
      <c r="D22" s="95" t="e">
        <f ca="1">_xll.BLUEMATRIX2("/servlet/excelData",D21, $C$14,$B21&amp;":"&amp;D$16&amp;D$17&amp;":"&amp;D$19&amp;":"&amp;$B22)</f>
        <v>#NAME?</v>
      </c>
      <c r="E22" s="95" t="e">
        <f ca="1">_xll.BLUEMATRIX2("/servlet/excelData",E21, $C$14,$B21&amp;":"&amp;E$16&amp;E$17&amp;":"&amp;E$19&amp;":"&amp;$B22)</f>
        <v>#NAME?</v>
      </c>
      <c r="F22" s="95" t="e">
        <f ca="1">_xll.BLUEMATRIX2("/servlet/excelData",F21, $C$14,$B21&amp;":"&amp;F$16&amp;F$17&amp;":"&amp;F$19&amp;":"&amp;$B22)</f>
        <v>#NAME?</v>
      </c>
      <c r="G22" s="95" t="e">
        <f ca="1">_xll.BLUEMATRIX2("/servlet/excelData",G21, $C$14,$B21&amp;":"&amp;G$16&amp;G$17&amp;":"&amp;G$19&amp;":"&amp;$B22)</f>
        <v>#NAME?</v>
      </c>
      <c r="H22" s="96" t="e">
        <f ca="1">_xll.BLUEMATRIX2("/servlet/excelData",H21, $C$14,$B21&amp;":"&amp;H$16&amp;H$17&amp;":"&amp;H$19&amp;":"&amp;$B22)</f>
        <v>#NAME?</v>
      </c>
      <c r="I22" s="95" t="e">
        <f ca="1">_xll.BLUEMATRIX2("/servlet/excelData",I21, $C$14,$B21&amp;":"&amp;I$16&amp;I$17&amp;":"&amp;I$19&amp;":"&amp;$B22)</f>
        <v>#NAME?</v>
      </c>
      <c r="J22" s="95" t="e">
        <f ca="1">_xll.BLUEMATRIX2("/servlet/excelData",J21, $C$14,$B21&amp;":"&amp;J$16&amp;J$17&amp;":"&amp;J$19&amp;":"&amp;$B22)</f>
        <v>#NAME?</v>
      </c>
      <c r="K22" s="95" t="e">
        <f ca="1">_xll.BLUEMATRIX2("/servlet/excelData",K21, $C$14,$B21&amp;":"&amp;K$16&amp;K$17&amp;":"&amp;K$19&amp;":"&amp;$B22)</f>
        <v>#NAME?</v>
      </c>
      <c r="L22" s="95" t="e">
        <f ca="1">_xll.BLUEMATRIX2("/servlet/excelData",L21, $C$14,$B21&amp;":"&amp;L$16&amp;L$17&amp;":"&amp;L$19&amp;":"&amp;$B22)</f>
        <v>#NAME?</v>
      </c>
      <c r="M22" s="96" t="e">
        <f ca="1">_xll.BLUEMATRIX2("/servlet/excelData",M21, $C$14,$B21&amp;":"&amp;M$16&amp;M$17&amp;":"&amp;M$19&amp;":"&amp;$B22)</f>
        <v>#NAME?</v>
      </c>
      <c r="N22" s="95" t="e">
        <f ca="1">_xll.BLUEMATRIX2("/servlet/excelData",N21, $C$14,$B21&amp;":"&amp;N$16&amp;N$17&amp;":"&amp;N$19&amp;":"&amp;$B22)</f>
        <v>#NAME?</v>
      </c>
      <c r="O22" s="95" t="e">
        <f ca="1">_xll.BLUEMATRIX2("/servlet/excelData",O21, $C$14,$B21&amp;":"&amp;O$16&amp;O$17&amp;":"&amp;O$19&amp;":"&amp;$B22)</f>
        <v>#NAME?</v>
      </c>
      <c r="P22" s="95" t="e">
        <f ca="1">_xll.BLUEMATRIX2("/servlet/excelData",P21, $C$14,$B21&amp;":"&amp;P$16&amp;P$17&amp;":"&amp;P$19&amp;":"&amp;$B22)</f>
        <v>#NAME?</v>
      </c>
      <c r="Q22" s="95" t="e">
        <f ca="1">_xll.BLUEMATRIX2("/servlet/excelData",Q21, $C$14,$B21&amp;":"&amp;Q$16&amp;Q$17&amp;":"&amp;Q$19&amp;":"&amp;$B22)</f>
        <v>#NAME?</v>
      </c>
      <c r="R22" s="96" t="e">
        <f ca="1">_xll.BLUEMATRIX2("/servlet/excelData",R21, $C$14,$B21&amp;":"&amp;R$16&amp;R$17&amp;":"&amp;R$19&amp;":"&amp;$B22)</f>
        <v>#NAME?</v>
      </c>
      <c r="S22" s="95" t="e">
        <f ca="1">_xll.BLUEMATRIX2("/servlet/excelData",S21, $C$14,$B21&amp;":"&amp;S$16&amp;S$17&amp;":"&amp;S$19&amp;":"&amp;$B22)</f>
        <v>#NAME?</v>
      </c>
      <c r="T22" s="95" t="e">
        <f ca="1">_xll.BLUEMATRIX2("/servlet/excelData",T21, $C$14,$B21&amp;":"&amp;T$16&amp;T$17&amp;":"&amp;T$19&amp;":"&amp;$B22)</f>
        <v>#NAME?</v>
      </c>
      <c r="U22" s="95" t="e">
        <f ca="1">_xll.BLUEMATRIX2("/servlet/excelData",U21, $C$14,$B21&amp;":"&amp;U$16&amp;U$17&amp;":"&amp;U$19&amp;":"&amp;$B22)</f>
        <v>#NAME?</v>
      </c>
      <c r="V22" s="95" t="e">
        <f ca="1">_xll.BLUEMATRIX2("/servlet/excelData",V21, $C$14,$B21&amp;":"&amp;V$16&amp;V$17&amp;":"&amp;V$19&amp;":"&amp;$B22)</f>
        <v>#NAME?</v>
      </c>
      <c r="W22" s="96" t="e">
        <f ca="1">_xll.BLUEMATRIX2("/servlet/excelData",W21, $C$14,$B21&amp;":"&amp;W$16&amp;W$17&amp;":"&amp;W$19&amp;":"&amp;$B22)</f>
        <v>#NAME?</v>
      </c>
      <c r="X22" s="95" t="e">
        <f ca="1">_xll.BLUEMATRIX2("/servlet/excelData",X21, $C$14,$B21&amp;":"&amp;X$16&amp;X$17&amp;":"&amp;X$19&amp;":"&amp;$B22)</f>
        <v>#NAME?</v>
      </c>
      <c r="Y22" s="95" t="e">
        <f ca="1">_xll.BLUEMATRIX2("/servlet/excelData",Y21, $C$14,$B21&amp;":"&amp;Y$16&amp;Y$17&amp;":"&amp;Y$19&amp;":"&amp;$B22)</f>
        <v>#NAME?</v>
      </c>
      <c r="Z22" s="95" t="e">
        <f ca="1">_xll.BLUEMATRIX2("/servlet/excelData",Z21, $C$14,$B21&amp;":"&amp;Z$16&amp;Z$17&amp;":"&amp;Z$19&amp;":"&amp;$B22)</f>
        <v>#NAME?</v>
      </c>
      <c r="AA22" s="95" t="e">
        <f ca="1">_xll.BLUEMATRIX2("/servlet/excelData",AA21, $C$14,$B21&amp;":"&amp;AA$16&amp;AA$17&amp;":"&amp;AA$19&amp;":"&amp;$B22)</f>
        <v>#NAME?</v>
      </c>
      <c r="AB22" s="96" t="e">
        <f ca="1">_xll.BLUEMATRIX2("/servlet/excelData",AB21, $C$14,$B21&amp;":"&amp;AB$16&amp;AB$17&amp;":"&amp;AB$19&amp;":"&amp;$B22)</f>
        <v>#NAME?</v>
      </c>
      <c r="AC22" s="95" t="e">
        <f ca="1">_xll.BLUEMATRIX2("/servlet/excelData",AC21, $C$14,$B21&amp;":"&amp;AC$16&amp;AC$17&amp;":"&amp;AC$19&amp;":"&amp;$B22)</f>
        <v>#NAME?</v>
      </c>
      <c r="AD22" s="95" t="e">
        <f ca="1">_xll.BLUEMATRIX2("/servlet/excelData",AD21, $C$14,$B21&amp;":"&amp;AD$16&amp;AD$17&amp;":"&amp;AD$19&amp;":"&amp;$B22)</f>
        <v>#NAME?</v>
      </c>
      <c r="AE22" s="95" t="e">
        <f ca="1">_xll.BLUEMATRIX2("/servlet/excelData",AE21, $C$14,$B21&amp;":"&amp;AE$16&amp;AE$17&amp;":"&amp;AE$19&amp;":"&amp;$B22)</f>
        <v>#NAME?</v>
      </c>
      <c r="AF22" s="95" t="e">
        <f ca="1">_xll.BLUEMATRIX2("/servlet/excelData",AF21, $C$14,$B21&amp;":"&amp;AF$16&amp;AF$17&amp;":"&amp;AF$19&amp;":"&amp;$B22)</f>
        <v>#NAME?</v>
      </c>
      <c r="AG22" s="96" t="e">
        <f ca="1">_xll.BLUEMATRIX2("/servlet/excelData",AG21, $C$14,$B21&amp;":"&amp;AG$16&amp;AG$17&amp;":"&amp;AG$19&amp;":"&amp;$B22)</f>
        <v>#NAME?</v>
      </c>
      <c r="AH22" s="95" t="e">
        <f ca="1">_xll.BLUEMATRIX2("/servlet/excelData",AH21, $C$14,$B21&amp;":"&amp;AH$16&amp;AH$17&amp;":"&amp;AH$19&amp;":"&amp;$B22)</f>
        <v>#NAME?</v>
      </c>
      <c r="AI22" s="95" t="e">
        <f ca="1">_xll.BLUEMATRIX2("/servlet/excelData",AI21, $C$14,$B21&amp;":"&amp;AI$16&amp;AI$17&amp;":"&amp;AI$19&amp;":"&amp;$B22)</f>
        <v>#NAME?</v>
      </c>
      <c r="AJ22" s="95" t="e">
        <f ca="1">_xll.BLUEMATRIX2("/servlet/excelData",AJ21, $C$14,$B21&amp;":"&amp;AJ$16&amp;AJ$17&amp;":"&amp;AJ$19&amp;":"&amp;$B22)</f>
        <v>#NAME?</v>
      </c>
      <c r="AK22" s="95" t="e">
        <f ca="1">_xll.BLUEMATRIX2("/servlet/excelData",AK21, $C$14,$B21&amp;":"&amp;AK$16&amp;AK$17&amp;":"&amp;AK$19&amp;":"&amp;$B22)</f>
        <v>#NAME?</v>
      </c>
      <c r="AL22" s="96" t="e">
        <f ca="1">_xll.BLUEMATRIX2("/servlet/excelData",AL21, $C$14,$B21&amp;":"&amp;AL$16&amp;AL$17&amp;":"&amp;AL$19&amp;":"&amp;$B22)</f>
        <v>#NAME?</v>
      </c>
      <c r="AM22" s="95" t="e">
        <f ca="1">_xll.BLUEMATRIX2("/servlet/excelData",AM21, $C$14,$B21&amp;":"&amp;AM$16&amp;AM$17&amp;":"&amp;AM$19&amp;":"&amp;$B22)</f>
        <v>#NAME?</v>
      </c>
      <c r="AN22" s="95" t="e">
        <f ca="1">_xll.BLUEMATRIX2("/servlet/excelData",AN21, $C$14,$B21&amp;":"&amp;AN$16&amp;AN$17&amp;":"&amp;AN$19&amp;":"&amp;$B22)</f>
        <v>#NAME?</v>
      </c>
      <c r="AO22" s="95" t="e">
        <f ca="1">_xll.BLUEMATRIX2("/servlet/excelData",AO21, $C$14,$B21&amp;":"&amp;AO$16&amp;AO$17&amp;":"&amp;AO$19&amp;":"&amp;$B22)</f>
        <v>#NAME?</v>
      </c>
      <c r="AP22" s="95" t="e">
        <f ca="1">_xll.BLUEMATRIX2("/servlet/excelData",AP21, $C$14,$B21&amp;":"&amp;AP$16&amp;AP$17&amp;":"&amp;AP$19&amp;":"&amp;$B22)</f>
        <v>#NAME?</v>
      </c>
      <c r="AQ22" s="96" t="e">
        <f ca="1">_xll.BLUEMATRIX2("/servlet/excelData",AQ21, $C$14,$B21&amp;":"&amp;AQ$16&amp;AQ$17&amp;":"&amp;AQ$19&amp;":"&amp;$B22)</f>
        <v>#NAME?</v>
      </c>
      <c r="AR22" s="95" t="e">
        <f ca="1">_xll.BLUEMATRIX2("/servlet/excelData",AR21, $C$14,$B21&amp;":"&amp;AR$16&amp;AR$17&amp;":"&amp;AR$19&amp;":"&amp;$B22)</f>
        <v>#NAME?</v>
      </c>
      <c r="AS22" s="95" t="e">
        <f ca="1">_xll.BLUEMATRIX2("/servlet/excelData",AS21, $C$14,$B21&amp;":"&amp;AS$16&amp;AS$17&amp;":"&amp;AS$19&amp;":"&amp;$B22)</f>
        <v>#NAME?</v>
      </c>
      <c r="AT22" s="95" t="e">
        <f ca="1">_xll.BLUEMATRIX2("/servlet/excelData",AT21, $C$14,$B21&amp;":"&amp;AT$16&amp;AT$17&amp;":"&amp;AT$19&amp;":"&amp;$B22)</f>
        <v>#NAME?</v>
      </c>
      <c r="AU22" s="95" t="e">
        <f ca="1">_xll.BLUEMATRIX2("/servlet/excelData",AU21, $C$14,$B21&amp;":"&amp;AU$16&amp;AU$17&amp;":"&amp;AU$19&amp;":"&amp;$B22)</f>
        <v>#NAME?</v>
      </c>
      <c r="AV22" s="96" t="e">
        <f ca="1">_xll.BLUEMATRIX2("/servlet/excelData",AV21, $C$14,$B21&amp;":"&amp;AV$16&amp;AV$17&amp;":"&amp;AV$19&amp;":"&amp;$B22)</f>
        <v>#NAME?</v>
      </c>
      <c r="AW22" s="95" t="e">
        <f ca="1">_xll.BLUEMATRIX2("/servlet/excelData",AW21, $C$14,$B21&amp;":"&amp;AW$16&amp;AW$17&amp;":"&amp;AW$19&amp;":"&amp;$B22)</f>
        <v>#NAME?</v>
      </c>
      <c r="AX22" s="95" t="e">
        <f ca="1">_xll.BLUEMATRIX2("/servlet/excelData",AX21, $C$14,$B21&amp;":"&amp;AX$16&amp;AX$17&amp;":"&amp;AX$19&amp;":"&amp;$B22)</f>
        <v>#NAME?</v>
      </c>
      <c r="AY22" s="95" t="e">
        <f ca="1">_xll.BLUEMATRIX2("/servlet/excelData",AY21, $C$14,$B21&amp;":"&amp;AY$16&amp;AY$17&amp;":"&amp;AY$19&amp;":"&amp;$B22)</f>
        <v>#NAME?</v>
      </c>
      <c r="AZ22" s="95" t="e">
        <f ca="1">_xll.BLUEMATRIX2("/servlet/excelData",AZ21, $C$14,$B21&amp;":"&amp;AZ$16&amp;AZ$17&amp;":"&amp;AZ$19&amp;":"&amp;$B22)</f>
        <v>#NAME?</v>
      </c>
      <c r="BA22" s="96" t="e">
        <f ca="1">_xll.BLUEMATRIX2("/servlet/excelData",BA21, $C$14,$B21&amp;":"&amp;BA$16&amp;BA$17&amp;":"&amp;BA$19&amp;":"&amp;$B22)</f>
        <v>#NAME?</v>
      </c>
      <c r="BB22" s="95" t="e">
        <f ca="1">_xll.BLUEMATRIX2("/servlet/excelData",BB21, $C$14,$B21&amp;":"&amp;BB$16&amp;BB$17&amp;":"&amp;BB$19&amp;":"&amp;$B22)</f>
        <v>#NAME?</v>
      </c>
      <c r="BC22" s="95" t="e">
        <f ca="1">_xll.BLUEMATRIX2("/servlet/excelData",BC21, $C$14,$B21&amp;":"&amp;BC$16&amp;BC$17&amp;":"&amp;BC$19&amp;":"&amp;$B22)</f>
        <v>#NAME?</v>
      </c>
      <c r="BD22" s="95" t="e">
        <f ca="1">_xll.BLUEMATRIX2("/servlet/excelData",BD21, $C$14,$B21&amp;":"&amp;BD$16&amp;BD$17&amp;":"&amp;BD$19&amp;":"&amp;$B22)</f>
        <v>#NAME?</v>
      </c>
      <c r="BE22" s="95" t="e">
        <f ca="1">_xll.BLUEMATRIX2("/servlet/excelData",BE21, $C$14,$B21&amp;":"&amp;BE$16&amp;BE$17&amp;":"&amp;BE$19&amp;":"&amp;$B22)</f>
        <v>#NAME?</v>
      </c>
      <c r="BF22" s="96" t="e">
        <f ca="1">_xll.BLUEMATRIX2("/servlet/excelData",BF21, $C$14,$B21&amp;":"&amp;BF$16&amp;BF$17&amp;":"&amp;BF$19&amp;":"&amp;$B22)</f>
        <v>#NAME?</v>
      </c>
      <c r="BG22" s="95" t="e">
        <f ca="1">_xll.BLUEMATRIX2("/servlet/excelData",BG21, $C$14,$B21&amp;":"&amp;BG$16&amp;BG$17&amp;":"&amp;BG$19&amp;":"&amp;$B22)</f>
        <v>#NAME?</v>
      </c>
      <c r="BH22" s="95" t="e">
        <f ca="1">_xll.BLUEMATRIX2("/servlet/excelData",BH21, $C$14,$B21&amp;":"&amp;BH$16&amp;BH$17&amp;":"&amp;BH$19&amp;":"&amp;$B22)</f>
        <v>#NAME?</v>
      </c>
      <c r="BI22" s="95" t="e">
        <f ca="1">_xll.BLUEMATRIX2("/servlet/excelData",BI21, $C$14,$B21&amp;":"&amp;BI$16&amp;BI$17&amp;":"&amp;BI$19&amp;":"&amp;$B22)</f>
        <v>#NAME?</v>
      </c>
      <c r="BJ22" s="95" t="e">
        <f ca="1">_xll.BLUEMATRIX2("/servlet/excelData",BJ21, $C$14,$B21&amp;":"&amp;BJ$16&amp;BJ$17&amp;":"&amp;BJ$19&amp;":"&amp;$B22)</f>
        <v>#NAME?</v>
      </c>
      <c r="BK22" s="96" t="e">
        <f ca="1">_xll.BLUEMATRIX2("/servlet/excelData",BK21, $C$14,$B21&amp;":"&amp;BK$16&amp;BK$17&amp;":"&amp;BK$19&amp;":"&amp;$B22)</f>
        <v>#NAME?</v>
      </c>
      <c r="BL22" s="95" t="e">
        <f ca="1">_xll.BLUEMATRIX2("/servlet/excelData",BL21, $C$14,$B21&amp;":"&amp;BL$16&amp;BL$17&amp;":"&amp;BL$19&amp;":"&amp;$B22)</f>
        <v>#NAME?</v>
      </c>
      <c r="BM22" s="95" t="e">
        <f ca="1">_xll.BLUEMATRIX2("/servlet/excelData",BM21, $C$14,$B21&amp;":"&amp;BM$16&amp;BM$17&amp;":"&amp;BM$19&amp;":"&amp;$B22)</f>
        <v>#NAME?</v>
      </c>
      <c r="BN22" s="95" t="e">
        <f ca="1">_xll.BLUEMATRIX2("/servlet/excelData",BN21, $C$14,$B21&amp;":"&amp;BN$16&amp;BN$17&amp;":"&amp;BN$19&amp;":"&amp;$B22)</f>
        <v>#NAME?</v>
      </c>
      <c r="BO22" s="95" t="e">
        <f ca="1">_xll.BLUEMATRIX2("/servlet/excelData",BO21, $C$14,$B21&amp;":"&amp;BO$16&amp;BO$17&amp;":"&amp;BO$19&amp;":"&amp;$B22)</f>
        <v>#NAME?</v>
      </c>
      <c r="BP22" s="96" t="e">
        <f ca="1">_xll.BLUEMATRIX2("/servlet/excelData",BP21, $C$14,$B21&amp;":"&amp;BP$16&amp;BP$17&amp;":"&amp;BP$19&amp;":"&amp;$B22)</f>
        <v>#NAME?</v>
      </c>
      <c r="BQ22" s="95" t="e">
        <f ca="1">_xll.BLUEMATRIX2("/servlet/excelData",BQ21, $C$14,$B21&amp;":"&amp;BQ$16&amp;BQ$17&amp;":"&amp;BQ$19&amp;":"&amp;$B22)</f>
        <v>#NAME?</v>
      </c>
      <c r="BR22" s="95" t="e">
        <f ca="1">_xll.BLUEMATRIX2("/servlet/excelData",BR21, $C$14,$B21&amp;":"&amp;BR$16&amp;BR$17&amp;":"&amp;BR$19&amp;":"&amp;$B22)</f>
        <v>#NAME?</v>
      </c>
      <c r="BS22" s="95" t="e">
        <f ca="1">_xll.BLUEMATRIX2("/servlet/excelData",BS21, $C$14,$B21&amp;":"&amp;BS$16&amp;BS$17&amp;":"&amp;BS$19&amp;":"&amp;$B22)</f>
        <v>#NAME?</v>
      </c>
      <c r="BT22" s="95" t="e">
        <f ca="1">_xll.BLUEMATRIX2("/servlet/excelData",BT21, $C$14,$B21&amp;":"&amp;BT$16&amp;BT$17&amp;":"&amp;BT$19&amp;":"&amp;$B22)</f>
        <v>#NAME?</v>
      </c>
      <c r="BU22" s="96" t="e">
        <f ca="1">_xll.BLUEMATRIX2("/servlet/excelData",BU21, $C$14,$B21&amp;":"&amp;BU$16&amp;BU$17&amp;":"&amp;BU$19&amp;":"&amp;$B22)</f>
        <v>#NAME?</v>
      </c>
      <c r="BV22" s="95" t="e">
        <f ca="1">_xll.BLUEMATRIX2("/servlet/excelData",BV21, $C$14,$B21&amp;":"&amp;BV$16&amp;BV$17&amp;":"&amp;BV$19&amp;":"&amp;$B22)</f>
        <v>#NAME?</v>
      </c>
      <c r="BW22" s="95" t="e">
        <f ca="1">_xll.BLUEMATRIX2("/servlet/excelData",BW21, $C$14,$B21&amp;":"&amp;BW$16&amp;BW$17&amp;":"&amp;BW$19&amp;":"&amp;$B22)</f>
        <v>#NAME?</v>
      </c>
      <c r="BX22" s="95" t="e">
        <f ca="1">_xll.BLUEMATRIX2("/servlet/excelData",BX21, $C$14,$B21&amp;":"&amp;BX$16&amp;BX$17&amp;":"&amp;BX$19&amp;":"&amp;$B22)</f>
        <v>#NAME?</v>
      </c>
      <c r="BY22" s="95" t="e">
        <f ca="1">_xll.BLUEMATRIX2("/servlet/excelData",BY21, $C$14,$B21&amp;":"&amp;BY$16&amp;BY$17&amp;":"&amp;BY$19&amp;":"&amp;$B22)</f>
        <v>#NAME?</v>
      </c>
      <c r="BZ22" s="96" t="e">
        <f ca="1">_xll.BLUEMATRIX2("/servlet/excelData",BZ21, $C$14,$B21&amp;":"&amp;BZ$16&amp;BZ$17&amp;":"&amp;BZ$19&amp;":"&amp;$B22)</f>
        <v>#NAME?</v>
      </c>
    </row>
    <row r="23" spans="1:78" ht="17.649999999999999">
      <c r="A23" s="64" t="s">
        <v>68</v>
      </c>
      <c r="B23" s="98" t="s">
        <v>68</v>
      </c>
      <c r="C23" s="65"/>
      <c r="D23" s="66">
        <f>IS!I59</f>
        <v>9.7969816235807111E-3</v>
      </c>
      <c r="E23" s="66">
        <f>IS!J59</f>
        <v>5.9644562484107023E-2</v>
      </c>
      <c r="F23" s="66">
        <f>IS!K59</f>
        <v>8.0834275940077804E-2</v>
      </c>
      <c r="G23" s="66">
        <f>IS!L59</f>
        <v>4.7521675118599803E-2</v>
      </c>
      <c r="H23" s="66">
        <f>IS!M59</f>
        <v>0.19855884707766222</v>
      </c>
      <c r="I23" s="66">
        <f>IS!N59</f>
        <v>4.5466803300792835E-2</v>
      </c>
      <c r="J23" s="66">
        <f>IS!O59</f>
        <v>0.11362957735009094</v>
      </c>
      <c r="K23" s="66">
        <f>IS!P59</f>
        <v>0.15377562028047465</v>
      </c>
      <c r="L23" s="66">
        <f>IS!Q59</f>
        <v>0.14937549827265478</v>
      </c>
      <c r="M23" s="66">
        <f>IS!R59</f>
        <v>0.46275676002987265</v>
      </c>
      <c r="N23" s="66">
        <f>IS!S59</f>
        <v>0.14502419249378842</v>
      </c>
      <c r="O23" s="66">
        <f>IS!T59</f>
        <v>0.1623391812865497</v>
      </c>
      <c r="P23" s="66">
        <f>IS!U59</f>
        <v>0.18685750434920134</v>
      </c>
      <c r="Q23" s="66">
        <f>IS!V59</f>
        <v>0.20555235149163739</v>
      </c>
      <c r="R23" s="66">
        <f>IS!W59</f>
        <v>0.69953008625993163</v>
      </c>
      <c r="S23" s="66">
        <f>IS!X59</f>
        <v>0.21079338231407577</v>
      </c>
      <c r="T23" s="66">
        <f>IS!Y59</f>
        <v>0.19783446503945679</v>
      </c>
      <c r="U23" s="66">
        <f>IS!Z59</f>
        <v>0.22019012192601778</v>
      </c>
      <c r="V23" s="66">
        <f>IS!AA59</f>
        <v>0.22516794010563562</v>
      </c>
      <c r="W23" s="66">
        <f>IS!AB59</f>
        <v>0.85436741598620647</v>
      </c>
      <c r="X23" s="66">
        <f>IS!AC59</f>
        <v>0.20496846440983393</v>
      </c>
      <c r="Y23" s="66">
        <f>IS!AD59</f>
        <v>0.25602630580498292</v>
      </c>
      <c r="Z23" s="66">
        <f>IS!AE59</f>
        <v>0.3072780962306757</v>
      </c>
      <c r="AA23" s="66">
        <f>IS!AF59</f>
        <v>0.31595687855096394</v>
      </c>
      <c r="AB23" s="66">
        <f>IS!AG59</f>
        <v>1.0879179307540738</v>
      </c>
      <c r="AC23" s="66">
        <f>IS!AH59</f>
        <v>0.35675108503839364</v>
      </c>
      <c r="AD23" s="66">
        <f>IS!AI59</f>
        <v>0.38761103873030911</v>
      </c>
      <c r="AE23" s="66">
        <f>IS!AJ59</f>
        <v>0.49024812190440081</v>
      </c>
      <c r="AF23" s="66">
        <f>IS!AK59</f>
        <v>0.5131313131313131</v>
      </c>
      <c r="AG23" s="66">
        <f>IS!AL59</f>
        <v>1.7471028905589367</v>
      </c>
      <c r="AH23" s="66">
        <f>IS!AM59</f>
        <v>0.48815770471284842</v>
      </c>
      <c r="AI23" s="66">
        <f>IS!AN59</f>
        <v>0.55239585841560312</v>
      </c>
      <c r="AJ23" s="66">
        <f>IS!AO59</f>
        <v>0.64858364510956712</v>
      </c>
      <c r="AK23" s="66">
        <f>IS!AP59</f>
        <v>0.62430048141541017</v>
      </c>
      <c r="AL23" s="391">
        <f>IS!AQ59</f>
        <v>2.3090095537549886</v>
      </c>
      <c r="AM23" s="66">
        <f>IS!AR59</f>
        <v>0.65223032855114327</v>
      </c>
      <c r="AN23" s="66">
        <f>IS!AS59</f>
        <v>0.74014516483785042</v>
      </c>
      <c r="AO23" s="66">
        <f>IS!AT59</f>
        <v>0.7701157884407811</v>
      </c>
      <c r="AP23" s="66">
        <f>IS!AU59</f>
        <v>0.70811078140454997</v>
      </c>
      <c r="AQ23" s="391">
        <f>IS!AV59</f>
        <v>2.8649535800896553</v>
      </c>
      <c r="AR23" s="66">
        <f>IS!AW59</f>
        <v>0.73613653227801135</v>
      </c>
      <c r="AS23" s="66">
        <f>IS!AX59</f>
        <v>0.7886318836240237</v>
      </c>
      <c r="AT23" s="66">
        <f>IS!AY59</f>
        <v>0.85517552205919178</v>
      </c>
      <c r="AU23" s="66">
        <f>IS!AZ59</f>
        <v>0.8431215807748994</v>
      </c>
      <c r="AV23" s="391">
        <f>IS!BA59</f>
        <v>3.2222388394526282</v>
      </c>
      <c r="AW23" s="66">
        <f>IS!BB59</f>
        <v>0.88907777305567359</v>
      </c>
      <c r="AX23" s="66">
        <f>IS!BC59</f>
        <v>0.88868452215979243</v>
      </c>
      <c r="AY23" s="66">
        <f>IS!BD59</f>
        <v>0.93926568077511474</v>
      </c>
      <c r="AZ23" s="66">
        <f>IS!BE59</f>
        <v>1.0096413721413722</v>
      </c>
      <c r="BA23" s="391">
        <f>IS!BF59</f>
        <v>3.7238452252366732</v>
      </c>
      <c r="BB23" s="66">
        <f>IS!BG59</f>
        <v>1.0930473333510313</v>
      </c>
      <c r="BC23" s="66">
        <f>IS!BH59</f>
        <v>1.2676639508481369</v>
      </c>
      <c r="BD23" s="66">
        <f>IS!BI59</f>
        <v>1.5135654774620808</v>
      </c>
      <c r="BE23" s="66">
        <f>IS!BJ59</f>
        <v>1.3997297870085832</v>
      </c>
      <c r="BF23" s="391">
        <f>IS!BK59</f>
        <v>5.2733466400532265</v>
      </c>
      <c r="BG23" s="66">
        <f>IS!BL59</f>
        <v>1.4510510828937253</v>
      </c>
      <c r="BH23" s="66">
        <f>IS!BM59</f>
        <v>1.519111680546658</v>
      </c>
      <c r="BI23" s="66">
        <f>IS!BN59</f>
        <v>1.5610458853942266</v>
      </c>
      <c r="BJ23" s="66">
        <f>IS!BO59</f>
        <v>1.6045135135135136</v>
      </c>
      <c r="BK23" s="391">
        <f>IS!BP59</f>
        <v>6.1340315959363263</v>
      </c>
      <c r="BL23" s="66">
        <f>IS!BQ59</f>
        <v>1.6704817311874729</v>
      </c>
      <c r="BM23" s="66">
        <f>IS!BR59</f>
        <v>1.676168569785591</v>
      </c>
      <c r="BN23" s="66">
        <f>IS!BS59</f>
        <v>1.85823712561651</v>
      </c>
      <c r="BO23" s="66">
        <f>IS!BT59</f>
        <v>1.8736856668511346</v>
      </c>
      <c r="BP23" s="391">
        <f>IS!BU59</f>
        <v>7.0762200142723826</v>
      </c>
      <c r="BQ23" s="66">
        <f>IS!BV59</f>
        <v>1.7898657963342022</v>
      </c>
      <c r="BR23" s="66">
        <f>IS!BW59</f>
        <v>1.7869041481505732</v>
      </c>
      <c r="BS23" s="66">
        <f>IS!BX59</f>
        <v>1.8593472034408594</v>
      </c>
      <c r="BT23" s="66">
        <f>IS!BY59</f>
        <v>1.8755052519249322</v>
      </c>
      <c r="BU23" s="391">
        <f>IS!BZ59</f>
        <v>7.309728614289031</v>
      </c>
      <c r="BV23" s="66">
        <f>IS!CA59</f>
        <v>1.934774255670564</v>
      </c>
      <c r="BW23" s="66">
        <f>IS!CB59</f>
        <v>1.9724237932425073</v>
      </c>
      <c r="BX23" s="66">
        <f>IS!CC59</f>
        <v>2.0475424809813463</v>
      </c>
      <c r="BY23" s="66">
        <f>IS!CD59</f>
        <v>2.1421985214667272</v>
      </c>
      <c r="BZ23" s="391">
        <f>IS!CE59</f>
        <v>8.0972876012471975</v>
      </c>
    </row>
    <row r="24" spans="1:78" s="63" customFormat="1" ht="17.649999999999999">
      <c r="A24" s="67"/>
      <c r="B24" s="68" t="s">
        <v>67</v>
      </c>
      <c r="C24" s="99"/>
      <c r="D24" s="100" t="e">
        <f ca="1">_xll.BLUEMATRIX2("/servlet/excelData",D23, $C$14,$B23&amp;":"&amp;D$16&amp;D$17&amp;":"&amp;D$19&amp;":"&amp;$B24)</f>
        <v>#NAME?</v>
      </c>
      <c r="E24" s="97" t="e">
        <f ca="1">_xll.BLUEMATRIX2("/servlet/excelData",E23, $C$14,$B23&amp;":"&amp;E$16&amp;E$17&amp;":"&amp;E$19&amp;":"&amp;$B24)</f>
        <v>#NAME?</v>
      </c>
      <c r="F24" s="97" t="e">
        <f ca="1">_xll.BLUEMATRIX2("/servlet/excelData",F23, $C$14,$B23&amp;":"&amp;F$16&amp;F$17&amp;":"&amp;F$19&amp;":"&amp;$B24)</f>
        <v>#NAME?</v>
      </c>
      <c r="G24" s="97" t="e">
        <f ca="1">_xll.BLUEMATRIX2("/servlet/excelData",G23, $C$14,$B23&amp;":"&amp;G$16&amp;G$17&amp;":"&amp;G$19&amp;":"&amp;$B24)</f>
        <v>#NAME?</v>
      </c>
      <c r="H24" s="85" t="e">
        <f ca="1">_xll.BLUEMATRIX2("/servlet/excelData",H23, $C$14,$B23&amp;":"&amp;H$16&amp;H$17&amp;":"&amp;H$19&amp;":"&amp;$B24)</f>
        <v>#NAME?</v>
      </c>
      <c r="I24" s="97" t="e">
        <f ca="1">_xll.BLUEMATRIX2("/servlet/excelData",I23, $C$14,$B23&amp;":"&amp;I$16&amp;I$17&amp;":"&amp;I$19&amp;":"&amp;$B24)</f>
        <v>#NAME?</v>
      </c>
      <c r="J24" s="97" t="e">
        <f ca="1">_xll.BLUEMATRIX2("/servlet/excelData",J23, $C$14,$B23&amp;":"&amp;J$16&amp;J$17&amp;":"&amp;J$19&amp;":"&amp;$B24)</f>
        <v>#NAME?</v>
      </c>
      <c r="K24" s="97" t="e">
        <f ca="1">_xll.BLUEMATRIX2("/servlet/excelData",K23, $C$14,$B23&amp;":"&amp;K$16&amp;K$17&amp;":"&amp;K$19&amp;":"&amp;$B24)</f>
        <v>#NAME?</v>
      </c>
      <c r="L24" s="97" t="e">
        <f ca="1">_xll.BLUEMATRIX2("/servlet/excelData",L23, $C$14,$B23&amp;":"&amp;L$16&amp;L$17&amp;":"&amp;L$19&amp;":"&amp;$B24)</f>
        <v>#NAME?</v>
      </c>
      <c r="M24" s="85" t="e">
        <f ca="1">_xll.BLUEMATRIX2("/servlet/excelData",M23, $C$14,$B23&amp;":"&amp;M$16&amp;M$17&amp;":"&amp;M$19&amp;":"&amp;$B24)</f>
        <v>#NAME?</v>
      </c>
      <c r="N24" s="97" t="e">
        <f ca="1">_xll.BLUEMATRIX2("/servlet/excelData",N23, $C$14,$B23&amp;":"&amp;N$16&amp;N$17&amp;":"&amp;N$19&amp;":"&amp;$B24)</f>
        <v>#NAME?</v>
      </c>
      <c r="O24" s="97" t="e">
        <f ca="1">_xll.BLUEMATRIX2("/servlet/excelData",O23, $C$14,$B23&amp;":"&amp;O$16&amp;O$17&amp;":"&amp;O$19&amp;":"&amp;$B24)</f>
        <v>#NAME?</v>
      </c>
      <c r="P24" s="97" t="e">
        <f ca="1">_xll.BLUEMATRIX2("/servlet/excelData",P23, $C$14,$B23&amp;":"&amp;P$16&amp;P$17&amp;":"&amp;P$19&amp;":"&amp;$B24)</f>
        <v>#NAME?</v>
      </c>
      <c r="Q24" s="97" t="e">
        <f ca="1">_xll.BLUEMATRIX2("/servlet/excelData",Q23, $C$14,$B23&amp;":"&amp;Q$16&amp;Q$17&amp;":"&amp;Q$19&amp;":"&amp;$B24)</f>
        <v>#NAME?</v>
      </c>
      <c r="R24" s="85" t="e">
        <f ca="1">_xll.BLUEMATRIX2("/servlet/excelData",R23, $C$14,$B23&amp;":"&amp;R$16&amp;R$17&amp;":"&amp;R$19&amp;":"&amp;$B24)</f>
        <v>#NAME?</v>
      </c>
      <c r="S24" s="97" t="e">
        <f ca="1">_xll.BLUEMATRIX2("/servlet/excelData",S23, $C$14,$B23&amp;":"&amp;S$16&amp;S$17&amp;":"&amp;S$19&amp;":"&amp;$B24)</f>
        <v>#NAME?</v>
      </c>
      <c r="T24" s="97" t="e">
        <f ca="1">_xll.BLUEMATRIX2("/servlet/excelData",T23, $C$14,$B23&amp;":"&amp;T$16&amp;T$17&amp;":"&amp;T$19&amp;":"&amp;$B24)</f>
        <v>#NAME?</v>
      </c>
      <c r="U24" s="97" t="e">
        <f ca="1">_xll.BLUEMATRIX2("/servlet/excelData",U23, $C$14,$B23&amp;":"&amp;U$16&amp;U$17&amp;":"&amp;U$19&amp;":"&amp;$B24)</f>
        <v>#NAME?</v>
      </c>
      <c r="V24" s="97" t="e">
        <f ca="1">_xll.BLUEMATRIX2("/servlet/excelData",V23, $C$14,$B23&amp;":"&amp;V$16&amp;V$17&amp;":"&amp;V$19&amp;":"&amp;$B24)</f>
        <v>#NAME?</v>
      </c>
      <c r="W24" s="85" t="e">
        <f ca="1">_xll.BLUEMATRIX2("/servlet/excelData",W23, $C$14,$B23&amp;":"&amp;W$16&amp;W$17&amp;":"&amp;W$19&amp;":"&amp;$B24)</f>
        <v>#NAME?</v>
      </c>
      <c r="X24" s="97" t="e">
        <f ca="1">_xll.BLUEMATRIX2("/servlet/excelData",X23, $C$14,$B23&amp;":"&amp;X$16&amp;X$17&amp;":"&amp;X$19&amp;":"&amp;$B24)</f>
        <v>#NAME?</v>
      </c>
      <c r="Y24" s="97" t="e">
        <f ca="1">_xll.BLUEMATRIX2("/servlet/excelData",Y23, $C$14,$B23&amp;":"&amp;Y$16&amp;Y$17&amp;":"&amp;Y$19&amp;":"&amp;$B24)</f>
        <v>#NAME?</v>
      </c>
      <c r="Z24" s="97" t="e">
        <f ca="1">_xll.BLUEMATRIX2("/servlet/excelData",Z23, $C$14,$B23&amp;":"&amp;Z$16&amp;Z$17&amp;":"&amp;Z$19&amp;":"&amp;$B24)</f>
        <v>#NAME?</v>
      </c>
      <c r="AA24" s="97" t="e">
        <f ca="1">_xll.BLUEMATRIX2("/servlet/excelData",AA23, $C$14,$B23&amp;":"&amp;AA$16&amp;AA$17&amp;":"&amp;AA$19&amp;":"&amp;$B24)</f>
        <v>#NAME?</v>
      </c>
      <c r="AB24" s="85" t="e">
        <f ca="1">_xll.BLUEMATRIX2("/servlet/excelData",AB23, $C$14,$B23&amp;":"&amp;AB$16&amp;AB$17&amp;":"&amp;AB$19&amp;":"&amp;$B24)</f>
        <v>#NAME?</v>
      </c>
      <c r="AC24" s="97" t="e">
        <f ca="1">_xll.BLUEMATRIX2("/servlet/excelData",AC23, $C$14,$B23&amp;":"&amp;AC$16&amp;AC$17&amp;":"&amp;AC$19&amp;":"&amp;$B24)</f>
        <v>#NAME?</v>
      </c>
      <c r="AD24" s="97" t="e">
        <f ca="1">_xll.BLUEMATRIX2("/servlet/excelData",AD23, $C$14,$B23&amp;":"&amp;AD$16&amp;AD$17&amp;":"&amp;AD$19&amp;":"&amp;$B24)</f>
        <v>#NAME?</v>
      </c>
      <c r="AE24" s="97" t="e">
        <f ca="1">_xll.BLUEMATRIX2("/servlet/excelData",AE23, $C$14,$B23&amp;":"&amp;AE$16&amp;AE$17&amp;":"&amp;AE$19&amp;":"&amp;$B24)</f>
        <v>#NAME?</v>
      </c>
      <c r="AF24" s="97" t="e">
        <f ca="1">_xll.BLUEMATRIX2("/servlet/excelData",AF23, $C$14,$B23&amp;":"&amp;AF$16&amp;AF$17&amp;":"&amp;AF$19&amp;":"&amp;$B24)</f>
        <v>#NAME?</v>
      </c>
      <c r="AG24" s="85" t="e">
        <f ca="1">_xll.BLUEMATRIX2("/servlet/excelData",AG23, $C$14,$B23&amp;":"&amp;AG$16&amp;AG$17&amp;":"&amp;AG$19&amp;":"&amp;$B24)</f>
        <v>#NAME?</v>
      </c>
      <c r="AH24" s="97" t="e">
        <f ca="1">_xll.BLUEMATRIX2("/servlet/excelData",AH23, $C$14,$B23&amp;":"&amp;AH$16&amp;AH$17&amp;":"&amp;AH$19&amp;":"&amp;$B24)</f>
        <v>#NAME?</v>
      </c>
      <c r="AI24" s="97" t="e">
        <f ca="1">_xll.BLUEMATRIX2("/servlet/excelData",AI23, $C$14,$B23&amp;":"&amp;AI$16&amp;AI$17&amp;":"&amp;AI$19&amp;":"&amp;$B24)</f>
        <v>#NAME?</v>
      </c>
      <c r="AJ24" s="97" t="e">
        <f ca="1">_xll.BLUEMATRIX2("/servlet/excelData",AJ23, $C$14,$B23&amp;":"&amp;AJ$16&amp;AJ$17&amp;":"&amp;AJ$19&amp;":"&amp;$B24)</f>
        <v>#NAME?</v>
      </c>
      <c r="AK24" s="97" t="e">
        <f ca="1">_xll.BLUEMATRIX2("/servlet/excelData",AK23, $C$14,$B23&amp;":"&amp;AK$16&amp;AK$17&amp;":"&amp;AK$19&amp;":"&amp;$B24)</f>
        <v>#NAME?</v>
      </c>
      <c r="AL24" s="85" t="e">
        <f ca="1">_xll.BLUEMATRIX2("/servlet/excelData",AL23, $C$14,$B23&amp;":"&amp;AL$16&amp;AL$17&amp;":"&amp;AL$19&amp;":"&amp;$B24)</f>
        <v>#NAME?</v>
      </c>
      <c r="AM24" s="97" t="e">
        <f ca="1">_xll.BLUEMATRIX2("/servlet/excelData",AM23, $C$14,$B23&amp;":"&amp;AM$16&amp;AM$17&amp;":"&amp;AM$19&amp;":"&amp;$B24)</f>
        <v>#NAME?</v>
      </c>
      <c r="AN24" s="97" t="e">
        <f ca="1">_xll.BLUEMATRIX2("/servlet/excelData",AN23, $C$14,$B23&amp;":"&amp;AN$16&amp;AN$17&amp;":"&amp;AN$19&amp;":"&amp;$B24)</f>
        <v>#NAME?</v>
      </c>
      <c r="AO24" s="97" t="e">
        <f ca="1">_xll.BLUEMATRIX2("/servlet/excelData",AO23, $C$14,$B23&amp;":"&amp;AO$16&amp;AO$17&amp;":"&amp;AO$19&amp;":"&amp;$B24)</f>
        <v>#NAME?</v>
      </c>
      <c r="AP24" s="97" t="e">
        <f ca="1">_xll.BLUEMATRIX2("/servlet/excelData",AP23, $C$14,$B23&amp;":"&amp;AP$16&amp;AP$17&amp;":"&amp;AP$19&amp;":"&amp;$B24)</f>
        <v>#NAME?</v>
      </c>
      <c r="AQ24" s="85" t="e">
        <f ca="1">_xll.BLUEMATRIX2("/servlet/excelData",AQ23, $C$14,$B23&amp;":"&amp;AQ$16&amp;AQ$17&amp;":"&amp;AQ$19&amp;":"&amp;$B24)</f>
        <v>#NAME?</v>
      </c>
      <c r="AR24" s="97" t="e">
        <f ca="1">_xll.BLUEMATRIX2("/servlet/excelData",AR23, $C$14,$B23&amp;":"&amp;AR$16&amp;AR$17&amp;":"&amp;AR$19&amp;":"&amp;$B24)</f>
        <v>#NAME?</v>
      </c>
      <c r="AS24" s="97" t="e">
        <f ca="1">_xll.BLUEMATRIX2("/servlet/excelData",AS23, $C$14,$B23&amp;":"&amp;AS$16&amp;AS$17&amp;":"&amp;AS$19&amp;":"&amp;$B24)</f>
        <v>#NAME?</v>
      </c>
      <c r="AT24" s="97" t="e">
        <f ca="1">_xll.BLUEMATRIX2("/servlet/excelData",AT23, $C$14,$B23&amp;":"&amp;AT$16&amp;AT$17&amp;":"&amp;AT$19&amp;":"&amp;$B24)</f>
        <v>#NAME?</v>
      </c>
      <c r="AU24" s="97" t="e">
        <f ca="1">_xll.BLUEMATRIX2("/servlet/excelData",AU23, $C$14,$B23&amp;":"&amp;AU$16&amp;AU$17&amp;":"&amp;AU$19&amp;":"&amp;$B24)</f>
        <v>#NAME?</v>
      </c>
      <c r="AV24" s="85" t="e">
        <f ca="1">_xll.BLUEMATRIX2("/servlet/excelData",AV23, $C$14,$B23&amp;":"&amp;AV$16&amp;AV$17&amp;":"&amp;AV$19&amp;":"&amp;$B24)</f>
        <v>#NAME?</v>
      </c>
      <c r="AW24" s="97" t="e">
        <f ca="1">_xll.BLUEMATRIX2("/servlet/excelData",AW23, $C$14,$B23&amp;":"&amp;AW$16&amp;AW$17&amp;":"&amp;AW$19&amp;":"&amp;$B24)</f>
        <v>#NAME?</v>
      </c>
      <c r="AX24" s="97" t="e">
        <f ca="1">_xll.BLUEMATRIX2("/servlet/excelData",AX23, $C$14,$B23&amp;":"&amp;AX$16&amp;AX$17&amp;":"&amp;AX$19&amp;":"&amp;$B24)</f>
        <v>#NAME?</v>
      </c>
      <c r="AY24" s="97" t="e">
        <f ca="1">_xll.BLUEMATRIX2("/servlet/excelData",AY23, $C$14,$B23&amp;":"&amp;AY$16&amp;AY$17&amp;":"&amp;AY$19&amp;":"&amp;$B24)</f>
        <v>#NAME?</v>
      </c>
      <c r="AZ24" s="97" t="e">
        <f ca="1">_xll.BLUEMATRIX2("/servlet/excelData",AZ23, $C$14,$B23&amp;":"&amp;AZ$16&amp;AZ$17&amp;":"&amp;AZ$19&amp;":"&amp;$B24)</f>
        <v>#NAME?</v>
      </c>
      <c r="BA24" s="85" t="e">
        <f ca="1">_xll.BLUEMATRIX2("/servlet/excelData",BA23, $C$14,$B23&amp;":"&amp;BA$16&amp;BA$17&amp;":"&amp;BA$19&amp;":"&amp;$B24)</f>
        <v>#NAME?</v>
      </c>
      <c r="BB24" s="97" t="e">
        <f ca="1">_xll.BLUEMATRIX2("/servlet/excelData",BB23, $C$14,$B23&amp;":"&amp;BB$16&amp;BB$17&amp;":"&amp;BB$19&amp;":"&amp;$B24)</f>
        <v>#NAME?</v>
      </c>
      <c r="BC24" s="97" t="e">
        <f ca="1">_xll.BLUEMATRIX2("/servlet/excelData",BC23, $C$14,$B23&amp;":"&amp;BC$16&amp;BC$17&amp;":"&amp;BC$19&amp;":"&amp;$B24)</f>
        <v>#NAME?</v>
      </c>
      <c r="BD24" s="97" t="e">
        <f ca="1">_xll.BLUEMATRIX2("/servlet/excelData",BD23, $C$14,$B23&amp;":"&amp;BD$16&amp;BD$17&amp;":"&amp;BD$19&amp;":"&amp;$B24)</f>
        <v>#NAME?</v>
      </c>
      <c r="BE24" s="97" t="e">
        <f ca="1">_xll.BLUEMATRIX2("/servlet/excelData",BE23, $C$14,$B23&amp;":"&amp;BE$16&amp;BE$17&amp;":"&amp;BE$19&amp;":"&amp;$B24)</f>
        <v>#NAME?</v>
      </c>
      <c r="BF24" s="85" t="e">
        <f ca="1">_xll.BLUEMATRIX2("/servlet/excelData",BF23, $C$14,$B23&amp;":"&amp;BF$16&amp;BF$17&amp;":"&amp;BF$19&amp;":"&amp;$B24)</f>
        <v>#NAME?</v>
      </c>
      <c r="BG24" s="97" t="e">
        <f ca="1">_xll.BLUEMATRIX2("/servlet/excelData",BG23, $C$14,$B23&amp;":"&amp;BG$16&amp;BG$17&amp;":"&amp;BG$19&amp;":"&amp;$B24)</f>
        <v>#NAME?</v>
      </c>
      <c r="BH24" s="97" t="e">
        <f ca="1">_xll.BLUEMATRIX2("/servlet/excelData",BH23, $C$14,$B23&amp;":"&amp;BH$16&amp;BH$17&amp;":"&amp;BH$19&amp;":"&amp;$B24)</f>
        <v>#NAME?</v>
      </c>
      <c r="BI24" s="97" t="e">
        <f ca="1">_xll.BLUEMATRIX2("/servlet/excelData",BI23, $C$14,$B23&amp;":"&amp;BI$16&amp;BI$17&amp;":"&amp;BI$19&amp;":"&amp;$B24)</f>
        <v>#NAME?</v>
      </c>
      <c r="BJ24" s="97" t="e">
        <f ca="1">_xll.BLUEMATRIX2("/servlet/excelData",BJ23, $C$14,$B23&amp;":"&amp;BJ$16&amp;BJ$17&amp;":"&amp;BJ$19&amp;":"&amp;$B24)</f>
        <v>#NAME?</v>
      </c>
      <c r="BK24" s="85" t="e">
        <f ca="1">_xll.BLUEMATRIX2("/servlet/excelData",BK23, $C$14,$B23&amp;":"&amp;BK$16&amp;BK$17&amp;":"&amp;BK$19&amp;":"&amp;$B24)</f>
        <v>#NAME?</v>
      </c>
      <c r="BL24" s="97" t="e">
        <f ca="1">_xll.BLUEMATRIX2("/servlet/excelData",BL23, $C$14,$B23&amp;":"&amp;BL$16&amp;BL$17&amp;":"&amp;BL$19&amp;":"&amp;$B24)</f>
        <v>#NAME?</v>
      </c>
      <c r="BM24" s="97" t="e">
        <f ca="1">_xll.BLUEMATRIX2("/servlet/excelData",BM23, $C$14,$B23&amp;":"&amp;BM$16&amp;BM$17&amp;":"&amp;BM$19&amp;":"&amp;$B24)</f>
        <v>#NAME?</v>
      </c>
      <c r="BN24" s="97" t="e">
        <f ca="1">_xll.BLUEMATRIX2("/servlet/excelData",BN23, $C$14,$B23&amp;":"&amp;BN$16&amp;BN$17&amp;":"&amp;BN$19&amp;":"&amp;$B24)</f>
        <v>#NAME?</v>
      </c>
      <c r="BO24" s="97" t="e">
        <f ca="1">_xll.BLUEMATRIX2("/servlet/excelData",BO23, $C$14,$B23&amp;":"&amp;BO$16&amp;BO$17&amp;":"&amp;BO$19&amp;":"&amp;$B24)</f>
        <v>#NAME?</v>
      </c>
      <c r="BP24" s="85" t="e">
        <f ca="1">_xll.BLUEMATRIX2("/servlet/excelData",BP23, $C$14,$B23&amp;":"&amp;BP$16&amp;BP$17&amp;":"&amp;BP$19&amp;":"&amp;$B24)</f>
        <v>#NAME?</v>
      </c>
      <c r="BQ24" s="97" t="e">
        <f ca="1">_xll.BLUEMATRIX2("/servlet/excelData",BQ23, $C$14,$B23&amp;":"&amp;BQ$16&amp;BQ$17&amp;":"&amp;BQ$19&amp;":"&amp;$B24)</f>
        <v>#NAME?</v>
      </c>
      <c r="BR24" s="97" t="e">
        <f ca="1">_xll.BLUEMATRIX2("/servlet/excelData",BR23, $C$14,$B23&amp;":"&amp;BR$16&amp;BR$17&amp;":"&amp;BR$19&amp;":"&amp;$B24)</f>
        <v>#NAME?</v>
      </c>
      <c r="BS24" s="97" t="e">
        <f ca="1">_xll.BLUEMATRIX2("/servlet/excelData",BS23, $C$14,$B23&amp;":"&amp;BS$16&amp;BS$17&amp;":"&amp;BS$19&amp;":"&amp;$B24)</f>
        <v>#NAME?</v>
      </c>
      <c r="BT24" s="97" t="e">
        <f ca="1">_xll.BLUEMATRIX2("/servlet/excelData",BT23, $C$14,$B23&amp;":"&amp;BT$16&amp;BT$17&amp;":"&amp;BT$19&amp;":"&amp;$B24)</f>
        <v>#NAME?</v>
      </c>
      <c r="BU24" s="85" t="e">
        <f ca="1">_xll.BLUEMATRIX2("/servlet/excelData",BU23, $C$14,$B23&amp;":"&amp;BU$16&amp;BU$17&amp;":"&amp;BU$19&amp;":"&amp;$B24)</f>
        <v>#NAME?</v>
      </c>
      <c r="BV24" s="97" t="e">
        <f ca="1">_xll.BLUEMATRIX2("/servlet/excelData",BV23, $C$14,$B23&amp;":"&amp;BV$16&amp;BV$17&amp;":"&amp;BV$19&amp;":"&amp;$B24)</f>
        <v>#NAME?</v>
      </c>
      <c r="BW24" s="97" t="e">
        <f ca="1">_xll.BLUEMATRIX2("/servlet/excelData",BW23, $C$14,$B23&amp;":"&amp;BW$16&amp;BW$17&amp;":"&amp;BW$19&amp;":"&amp;$B24)</f>
        <v>#NAME?</v>
      </c>
      <c r="BX24" s="97" t="e">
        <f ca="1">_xll.BLUEMATRIX2("/servlet/excelData",BX23, $C$14,$B23&amp;":"&amp;BX$16&amp;BX$17&amp;":"&amp;BX$19&amp;":"&amp;$B24)</f>
        <v>#NAME?</v>
      </c>
      <c r="BY24" s="97" t="e">
        <f ca="1">_xll.BLUEMATRIX2("/servlet/excelData",BY23, $C$14,$B23&amp;":"&amp;BY$16&amp;BY$17&amp;":"&amp;BY$19&amp;":"&amp;$B24)</f>
        <v>#NAME?</v>
      </c>
      <c r="BZ24" s="85" t="e">
        <f ca="1">_xll.BLUEMATRIX2("/servlet/excelData",BZ23, $C$14,$B23&amp;":"&amp;BZ$16&amp;BZ$17&amp;":"&amp;BZ$19&amp;":"&amp;$B24)</f>
        <v>#NAME?</v>
      </c>
    </row>
    <row r="25" spans="1:78" ht="15.4" hidden="1">
      <c r="A25" s="69" t="s">
        <v>69</v>
      </c>
      <c r="B25" s="93" t="s">
        <v>69</v>
      </c>
      <c r="C25" s="59"/>
      <c r="D25" s="70"/>
      <c r="E25" s="71"/>
      <c r="F25" s="71"/>
      <c r="G25" s="71"/>
      <c r="H25" s="72"/>
      <c r="I25" s="71"/>
      <c r="J25" s="71"/>
      <c r="K25" s="71"/>
      <c r="L25" s="71"/>
      <c r="M25" s="72"/>
      <c r="N25" s="71"/>
      <c r="O25" s="71"/>
      <c r="P25" s="71"/>
      <c r="Q25" s="71"/>
      <c r="R25" s="72"/>
      <c r="S25" s="71"/>
      <c r="T25" s="71"/>
      <c r="U25" s="71"/>
      <c r="V25" s="71"/>
      <c r="W25" s="72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22" t="s">
        <v>70</v>
      </c>
      <c r="BJ25" s="86"/>
      <c r="BL25" s="86"/>
      <c r="BM25" s="86"/>
      <c r="BN25" s="86"/>
      <c r="BO25" s="86"/>
      <c r="BP25" s="86"/>
    </row>
    <row r="26" spans="1:78" s="63" customFormat="1" ht="15.4" hidden="1">
      <c r="A26" s="101"/>
      <c r="B26" s="62"/>
      <c r="C26" s="94"/>
      <c r="D26" s="102" t="e">
        <f ca="1">_xll.BLUEMATRIX2("/servlet/excelData",D25, $C$14,$B25&amp;":"&amp;D$16&amp;D$17&amp;":"&amp;D$19&amp;":"&amp;$B26)</f>
        <v>#NAME?</v>
      </c>
      <c r="E26" s="95" t="e">
        <f ca="1">_xll.BLUEMATRIX2("/servlet/excelData",E25, $C$14,$B25&amp;":"&amp;E$16&amp;E$17&amp;":"&amp;E$19&amp;":"&amp;$B26)</f>
        <v>#NAME?</v>
      </c>
      <c r="F26" s="95" t="e">
        <f ca="1">_xll.BLUEMATRIX2("/servlet/excelData",F25, $C$14,$B25&amp;":"&amp;F$16&amp;F$17&amp;":"&amp;F$19&amp;":"&amp;$B26)</f>
        <v>#NAME?</v>
      </c>
      <c r="G26" s="95" t="e">
        <f ca="1">_xll.BLUEMATRIX2("/servlet/excelData",G25, $C$14,$B25&amp;":"&amp;G$16&amp;G$17&amp;":"&amp;G$19&amp;":"&amp;$B26)</f>
        <v>#NAME?</v>
      </c>
      <c r="H26" s="96" t="e">
        <f ca="1">_xll.BLUEMATRIX2("/servlet/excelData",H25, $C$14,$B25&amp;":"&amp;H$16&amp;H$17&amp;":"&amp;H$19&amp;":"&amp;$B26)</f>
        <v>#NAME?</v>
      </c>
      <c r="I26" s="95" t="e">
        <f ca="1">_xll.BLUEMATRIX2("/servlet/excelData",I25, $C$14,$B25&amp;":"&amp;I$16&amp;I$17&amp;":"&amp;I$19&amp;":"&amp;$B26)</f>
        <v>#NAME?</v>
      </c>
      <c r="J26" s="95" t="e">
        <f ca="1">_xll.BLUEMATRIX2("/servlet/excelData",J25, $C$14,$B25&amp;":"&amp;J$16&amp;J$17&amp;":"&amp;J$19&amp;":"&amp;$B26)</f>
        <v>#NAME?</v>
      </c>
      <c r="K26" s="95" t="e">
        <f ca="1">_xll.BLUEMATRIX2("/servlet/excelData",K25, $C$14,$B25&amp;":"&amp;K$16&amp;K$17&amp;":"&amp;K$19&amp;":"&amp;$B26)</f>
        <v>#NAME?</v>
      </c>
      <c r="L26" s="95" t="e">
        <f ca="1">_xll.BLUEMATRIX2("/servlet/excelData",L25, $C$14,$B25&amp;":"&amp;L$16&amp;L$17&amp;":"&amp;L$19&amp;":"&amp;$B26)</f>
        <v>#NAME?</v>
      </c>
      <c r="M26" s="96" t="e">
        <f ca="1">_xll.BLUEMATRIX2("/servlet/excelData",M25, $C$14,$B25&amp;":"&amp;M$16&amp;M$17&amp;":"&amp;M$19&amp;":"&amp;$B26)</f>
        <v>#NAME?</v>
      </c>
      <c r="N26" s="95" t="e">
        <f ca="1">_xll.BLUEMATRIX2("/servlet/excelData",N25, $C$14,$B25&amp;":"&amp;N$16&amp;N$17&amp;":"&amp;N$19&amp;":"&amp;$B26)</f>
        <v>#NAME?</v>
      </c>
      <c r="O26" s="95" t="e">
        <f ca="1">_xll.BLUEMATRIX2("/servlet/excelData",O25, $C$14,$B25&amp;":"&amp;O$16&amp;O$17&amp;":"&amp;O$19&amp;":"&amp;$B26)</f>
        <v>#NAME?</v>
      </c>
      <c r="P26" s="95" t="e">
        <f ca="1">_xll.BLUEMATRIX2("/servlet/excelData",P25, $C$14,$B25&amp;":"&amp;P$16&amp;P$17&amp;":"&amp;P$19&amp;":"&amp;$B26)</f>
        <v>#NAME?</v>
      </c>
      <c r="Q26" s="95" t="e">
        <f ca="1">_xll.BLUEMATRIX2("/servlet/excelData",Q25, $C$14,$B25&amp;":"&amp;Q$16&amp;Q$17&amp;":"&amp;Q$19&amp;":"&amp;$B26)</f>
        <v>#NAME?</v>
      </c>
      <c r="R26" s="96" t="e">
        <f ca="1">_xll.BLUEMATRIX2("/servlet/excelData",R25, $C$14,$B25&amp;":"&amp;R$16&amp;R$17&amp;":"&amp;R$19&amp;":"&amp;$B26)</f>
        <v>#NAME?</v>
      </c>
      <c r="S26" s="95" t="e">
        <f ca="1">_xll.BLUEMATRIX2("/servlet/excelData",S25, $C$14,$B25&amp;":"&amp;S$16&amp;S$17&amp;":"&amp;S$19&amp;":"&amp;$B26)</f>
        <v>#NAME?</v>
      </c>
      <c r="T26" s="95" t="e">
        <f ca="1">_xll.BLUEMATRIX2("/servlet/excelData",T25, $C$14,$B25&amp;":"&amp;T$16&amp;T$17&amp;":"&amp;T$19&amp;":"&amp;$B26)</f>
        <v>#NAME?</v>
      </c>
      <c r="U26" s="95" t="e">
        <f ca="1">_xll.BLUEMATRIX2("/servlet/excelData",U25, $C$14,$B25&amp;":"&amp;U$16&amp;U$17&amp;":"&amp;U$19&amp;":"&amp;$B26)</f>
        <v>#NAME?</v>
      </c>
      <c r="V26" s="95" t="e">
        <f ca="1">_xll.BLUEMATRIX2("/servlet/excelData",V25, $C$14,$B25&amp;":"&amp;V$16&amp;V$17&amp;":"&amp;V$19&amp;":"&amp;$B26)</f>
        <v>#NAME?</v>
      </c>
      <c r="W26" s="96" t="e">
        <f ca="1">_xll.BLUEMATRIX2("/servlet/excelData",W25, $C$14,$B25&amp;":"&amp;W$16&amp;W$17&amp;":"&amp;W$19&amp;":"&amp;$B26)</f>
        <v>#NAME?</v>
      </c>
      <c r="BI26" s="22" t="s">
        <v>71</v>
      </c>
    </row>
    <row r="27" spans="1:78" hidden="1">
      <c r="A27" s="73" t="s">
        <v>72</v>
      </c>
      <c r="B27" s="98" t="s">
        <v>72</v>
      </c>
      <c r="C27" s="65"/>
      <c r="D27" s="74"/>
      <c r="E27" s="63"/>
      <c r="F27" s="63"/>
      <c r="G27" s="63"/>
      <c r="H27" s="75"/>
      <c r="I27" s="63"/>
      <c r="J27" s="63"/>
      <c r="K27" s="63"/>
      <c r="L27" s="63"/>
      <c r="M27" s="75"/>
      <c r="N27" s="63"/>
      <c r="O27" s="63"/>
      <c r="P27" s="63"/>
      <c r="Q27" s="63"/>
      <c r="R27" s="75"/>
      <c r="S27" s="63"/>
      <c r="T27" s="63"/>
      <c r="U27" s="63"/>
      <c r="V27" s="63"/>
      <c r="W27" s="75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23"/>
      <c r="BJ27" s="86"/>
      <c r="BL27" s="86"/>
      <c r="BM27" s="86"/>
      <c r="BN27" s="86"/>
      <c r="BO27" s="86"/>
      <c r="BP27" s="86"/>
    </row>
    <row r="28" spans="1:78" s="63" customFormat="1" hidden="1">
      <c r="A28" s="103"/>
      <c r="B28" s="68"/>
      <c r="C28" s="99"/>
      <c r="D28" s="100" t="e">
        <f ca="1">_xll.BLUEMATRIX2("/servlet/excelData",D27, $C$14,$B27&amp;":"&amp;D$16&amp;D$17&amp;":"&amp;D$19&amp;":"&amp;$B28)</f>
        <v>#NAME?</v>
      </c>
      <c r="E28" s="97" t="e">
        <f ca="1">_xll.BLUEMATRIX2("/servlet/excelData",E27, $C$14,$B27&amp;":"&amp;E$16&amp;E$17&amp;":"&amp;E$19&amp;":"&amp;$B28)</f>
        <v>#NAME?</v>
      </c>
      <c r="F28" s="97" t="e">
        <f ca="1">_xll.BLUEMATRIX2("/servlet/excelData",F27, $C$14,$B27&amp;":"&amp;F$16&amp;F$17&amp;":"&amp;F$19&amp;":"&amp;$B28)</f>
        <v>#NAME?</v>
      </c>
      <c r="G28" s="97" t="e">
        <f ca="1">_xll.BLUEMATRIX2("/servlet/excelData",G27, $C$14,$B27&amp;":"&amp;G$16&amp;G$17&amp;":"&amp;G$19&amp;":"&amp;$B28)</f>
        <v>#NAME?</v>
      </c>
      <c r="H28" s="85" t="e">
        <f ca="1">_xll.BLUEMATRIX2("/servlet/excelData",H27, $C$14,$B27&amp;":"&amp;H$16&amp;H$17&amp;":"&amp;H$19&amp;":"&amp;$B28)</f>
        <v>#NAME?</v>
      </c>
      <c r="I28" s="97" t="e">
        <f ca="1">_xll.BLUEMATRIX2("/servlet/excelData",I27, $C$14,$B27&amp;":"&amp;I$16&amp;I$17&amp;":"&amp;I$19&amp;":"&amp;$B28)</f>
        <v>#NAME?</v>
      </c>
      <c r="J28" s="97" t="e">
        <f ca="1">_xll.BLUEMATRIX2("/servlet/excelData",J27, $C$14,$B27&amp;":"&amp;J$16&amp;J$17&amp;":"&amp;J$19&amp;":"&amp;$B28)</f>
        <v>#NAME?</v>
      </c>
      <c r="K28" s="97" t="e">
        <f ca="1">_xll.BLUEMATRIX2("/servlet/excelData",K27, $C$14,$B27&amp;":"&amp;K$16&amp;K$17&amp;":"&amp;K$19&amp;":"&amp;$B28)</f>
        <v>#NAME?</v>
      </c>
      <c r="L28" s="97" t="e">
        <f ca="1">_xll.BLUEMATRIX2("/servlet/excelData",L27, $C$14,$B27&amp;":"&amp;L$16&amp;L$17&amp;":"&amp;L$19&amp;":"&amp;$B28)</f>
        <v>#NAME?</v>
      </c>
      <c r="M28" s="85" t="e">
        <f ca="1">_xll.BLUEMATRIX2("/servlet/excelData",M27, $C$14,$B27&amp;":"&amp;M$16&amp;M$17&amp;":"&amp;M$19&amp;":"&amp;$B28)</f>
        <v>#NAME?</v>
      </c>
      <c r="N28" s="97" t="e">
        <f ca="1">_xll.BLUEMATRIX2("/servlet/excelData",N27, $C$14,$B27&amp;":"&amp;N$16&amp;N$17&amp;":"&amp;N$19&amp;":"&amp;$B28)</f>
        <v>#NAME?</v>
      </c>
      <c r="O28" s="97" t="e">
        <f ca="1">_xll.BLUEMATRIX2("/servlet/excelData",O27, $C$14,$B27&amp;":"&amp;O$16&amp;O$17&amp;":"&amp;O$19&amp;":"&amp;$B28)</f>
        <v>#NAME?</v>
      </c>
      <c r="P28" s="97" t="e">
        <f ca="1">_xll.BLUEMATRIX2("/servlet/excelData",P27, $C$14,$B27&amp;":"&amp;P$16&amp;P$17&amp;":"&amp;P$19&amp;":"&amp;$B28)</f>
        <v>#NAME?</v>
      </c>
      <c r="Q28" s="97" t="e">
        <f ca="1">_xll.BLUEMATRIX2("/servlet/excelData",Q27, $C$14,$B27&amp;":"&amp;Q$16&amp;Q$17&amp;":"&amp;Q$19&amp;":"&amp;$B28)</f>
        <v>#NAME?</v>
      </c>
      <c r="R28" s="85" t="e">
        <f ca="1">_xll.BLUEMATRIX2("/servlet/excelData",R27, $C$14,$B27&amp;":"&amp;R$16&amp;R$17&amp;":"&amp;R$19&amp;":"&amp;$B28)</f>
        <v>#NAME?</v>
      </c>
      <c r="S28" s="97" t="e">
        <f ca="1">_xll.BLUEMATRIX2("/servlet/excelData",S27, $C$14,$B27&amp;":"&amp;S$16&amp;S$17&amp;":"&amp;S$19&amp;":"&amp;$B28)</f>
        <v>#NAME?</v>
      </c>
      <c r="T28" s="97" t="e">
        <f ca="1">_xll.BLUEMATRIX2("/servlet/excelData",T27, $C$14,$B27&amp;":"&amp;T$16&amp;T$17&amp;":"&amp;T$19&amp;":"&amp;$B28)</f>
        <v>#NAME?</v>
      </c>
      <c r="U28" s="97" t="e">
        <f ca="1">_xll.BLUEMATRIX2("/servlet/excelData",U27, $C$14,$B27&amp;":"&amp;U$16&amp;U$17&amp;":"&amp;U$19&amp;":"&amp;$B28)</f>
        <v>#NAME?</v>
      </c>
      <c r="V28" s="97" t="e">
        <f ca="1">_xll.BLUEMATRIX2("/servlet/excelData",V27, $C$14,$B27&amp;":"&amp;V$16&amp;V$17&amp;":"&amp;V$19&amp;":"&amp;$B28)</f>
        <v>#NAME?</v>
      </c>
      <c r="W28" s="85" t="e">
        <f ca="1">_xll.BLUEMATRIX2("/servlet/excelData",W27, $C$14,$B27&amp;":"&amp;W$16&amp;W$17&amp;":"&amp;W$19&amp;":"&amp;$B28)</f>
        <v>#NAME?</v>
      </c>
      <c r="BI28" s="23"/>
    </row>
    <row r="29" spans="1:78" hidden="1">
      <c r="A29" s="69" t="s">
        <v>73</v>
      </c>
      <c r="B29" s="93" t="s">
        <v>74</v>
      </c>
      <c r="C29" s="59"/>
      <c r="D29" s="70"/>
      <c r="E29" s="71"/>
      <c r="F29" s="71"/>
      <c r="G29" s="71"/>
      <c r="H29" s="72"/>
      <c r="I29" s="71"/>
      <c r="J29" s="71"/>
      <c r="K29" s="71"/>
      <c r="L29" s="71"/>
      <c r="M29" s="72"/>
      <c r="N29" s="71"/>
      <c r="O29" s="71"/>
      <c r="P29" s="71"/>
      <c r="Q29" s="71"/>
      <c r="R29" s="72"/>
      <c r="S29" s="71"/>
      <c r="T29" s="71"/>
      <c r="U29" s="71"/>
      <c r="V29" s="71"/>
      <c r="W29" s="72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23"/>
      <c r="BJ29" s="86"/>
      <c r="BL29" s="86"/>
      <c r="BM29" s="86"/>
      <c r="BN29" s="86"/>
      <c r="BO29" s="86"/>
      <c r="BP29" s="86"/>
    </row>
    <row r="30" spans="1:78" s="63" customFormat="1" hidden="1">
      <c r="A30" s="101"/>
      <c r="B30" s="62"/>
      <c r="C30" s="94"/>
      <c r="D30" s="102" t="e">
        <f ca="1">_xll.BLUEMATRIX2("/servlet/excelData",D29, $C$14,$B29&amp;":"&amp;D$16&amp;D$17&amp;":"&amp;D$19&amp;":"&amp;$B30)</f>
        <v>#NAME?</v>
      </c>
      <c r="E30" s="95" t="e">
        <f ca="1">_xll.BLUEMATRIX2("/servlet/excelData",E29, $C$14,$B29&amp;":"&amp;E$16&amp;E$17&amp;":"&amp;E$19&amp;":"&amp;$B30)</f>
        <v>#NAME?</v>
      </c>
      <c r="F30" s="95" t="e">
        <f ca="1">_xll.BLUEMATRIX2("/servlet/excelData",F29, $C$14,$B29&amp;":"&amp;F$16&amp;F$17&amp;":"&amp;F$19&amp;":"&amp;$B30)</f>
        <v>#NAME?</v>
      </c>
      <c r="G30" s="95" t="e">
        <f ca="1">_xll.BLUEMATRIX2("/servlet/excelData",G29, $C$14,$B29&amp;":"&amp;G$16&amp;G$17&amp;":"&amp;G$19&amp;":"&amp;$B30)</f>
        <v>#NAME?</v>
      </c>
      <c r="H30" s="96" t="e">
        <f ca="1">_xll.BLUEMATRIX2("/servlet/excelData",H29, $C$14,$B29&amp;":"&amp;H$16&amp;H$17&amp;":"&amp;H$19&amp;":"&amp;$B30)</f>
        <v>#NAME?</v>
      </c>
      <c r="I30" s="95" t="e">
        <f ca="1">_xll.BLUEMATRIX2("/servlet/excelData",I29, $C$14,$B29&amp;":"&amp;I$16&amp;I$17&amp;":"&amp;I$19&amp;":"&amp;$B30)</f>
        <v>#NAME?</v>
      </c>
      <c r="J30" s="95" t="e">
        <f ca="1">_xll.BLUEMATRIX2("/servlet/excelData",J29, $C$14,$B29&amp;":"&amp;J$16&amp;J$17&amp;":"&amp;J$19&amp;":"&amp;$B30)</f>
        <v>#NAME?</v>
      </c>
      <c r="K30" s="95" t="e">
        <f ca="1">_xll.BLUEMATRIX2("/servlet/excelData",K29, $C$14,$B29&amp;":"&amp;K$16&amp;K$17&amp;":"&amp;K$19&amp;":"&amp;$B30)</f>
        <v>#NAME?</v>
      </c>
      <c r="L30" s="95" t="e">
        <f ca="1">_xll.BLUEMATRIX2("/servlet/excelData",L29, $C$14,$B29&amp;":"&amp;L$16&amp;L$17&amp;":"&amp;L$19&amp;":"&amp;$B30)</f>
        <v>#NAME?</v>
      </c>
      <c r="M30" s="96" t="e">
        <f ca="1">_xll.BLUEMATRIX2("/servlet/excelData",M29, $C$14,$B29&amp;":"&amp;M$16&amp;M$17&amp;":"&amp;M$19&amp;":"&amp;$B30)</f>
        <v>#NAME?</v>
      </c>
      <c r="N30" s="95" t="e">
        <f ca="1">_xll.BLUEMATRIX2("/servlet/excelData",N29, $C$14,$B29&amp;":"&amp;N$16&amp;N$17&amp;":"&amp;N$19&amp;":"&amp;$B30)</f>
        <v>#NAME?</v>
      </c>
      <c r="O30" s="95" t="e">
        <f ca="1">_xll.BLUEMATRIX2("/servlet/excelData",O29, $C$14,$B29&amp;":"&amp;O$16&amp;O$17&amp;":"&amp;O$19&amp;":"&amp;$B30)</f>
        <v>#NAME?</v>
      </c>
      <c r="P30" s="95" t="e">
        <f ca="1">_xll.BLUEMATRIX2("/servlet/excelData",P29, $C$14,$B29&amp;":"&amp;P$16&amp;P$17&amp;":"&amp;P$19&amp;":"&amp;$B30)</f>
        <v>#NAME?</v>
      </c>
      <c r="Q30" s="95" t="e">
        <f ca="1">_xll.BLUEMATRIX2("/servlet/excelData",Q29, $C$14,$B29&amp;":"&amp;Q$16&amp;Q$17&amp;":"&amp;Q$19&amp;":"&amp;$B30)</f>
        <v>#NAME?</v>
      </c>
      <c r="R30" s="96" t="e">
        <f ca="1">_xll.BLUEMATRIX2("/servlet/excelData",R29, $C$14,$B29&amp;":"&amp;R$16&amp;R$17&amp;":"&amp;R$19&amp;":"&amp;$B30)</f>
        <v>#NAME?</v>
      </c>
      <c r="S30" s="95" t="e">
        <f ca="1">_xll.BLUEMATRIX2("/servlet/excelData",S29, $C$14,$B29&amp;":"&amp;S$16&amp;S$17&amp;":"&amp;S$19&amp;":"&amp;$B30)</f>
        <v>#NAME?</v>
      </c>
      <c r="T30" s="95" t="e">
        <f ca="1">_xll.BLUEMATRIX2("/servlet/excelData",T29, $C$14,$B29&amp;":"&amp;T$16&amp;T$17&amp;":"&amp;T$19&amp;":"&amp;$B30)</f>
        <v>#NAME?</v>
      </c>
      <c r="U30" s="95" t="e">
        <f ca="1">_xll.BLUEMATRIX2("/servlet/excelData",U29, $C$14,$B29&amp;":"&amp;U$16&amp;U$17&amp;":"&amp;U$19&amp;":"&amp;$B30)</f>
        <v>#NAME?</v>
      </c>
      <c r="V30" s="95" t="e">
        <f ca="1">_xll.BLUEMATRIX2("/servlet/excelData",V29, $C$14,$B29&amp;":"&amp;V$16&amp;V$17&amp;":"&amp;V$19&amp;":"&amp;$B30)</f>
        <v>#NAME?</v>
      </c>
      <c r="W30" s="96" t="e">
        <f ca="1">_xll.BLUEMATRIX2("/servlet/excelData",W29, $C$14,$B29&amp;":"&amp;W$16&amp;W$17&amp;":"&amp;W$19&amp;":"&amp;$B30)</f>
        <v>#NAME?</v>
      </c>
      <c r="BI30" s="86"/>
    </row>
    <row r="31" spans="1:78" hidden="1">
      <c r="A31" s="73" t="s">
        <v>75</v>
      </c>
      <c r="B31" s="98" t="s">
        <v>76</v>
      </c>
      <c r="C31" s="65"/>
      <c r="D31" s="74"/>
      <c r="E31" s="63"/>
      <c r="F31" s="63"/>
      <c r="G31" s="63"/>
      <c r="H31" s="75"/>
      <c r="I31" s="63"/>
      <c r="J31" s="63"/>
      <c r="K31" s="63"/>
      <c r="L31" s="63"/>
      <c r="M31" s="75"/>
      <c r="N31" s="63"/>
      <c r="O31" s="63"/>
      <c r="P31" s="63"/>
      <c r="Q31" s="63"/>
      <c r="R31" s="75"/>
      <c r="S31" s="63"/>
      <c r="T31" s="63"/>
      <c r="U31" s="63"/>
      <c r="V31" s="63"/>
      <c r="W31" s="75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L31" s="86"/>
      <c r="BM31" s="86"/>
      <c r="BN31" s="86"/>
      <c r="BO31" s="86"/>
      <c r="BP31" s="86"/>
    </row>
    <row r="32" spans="1:78" s="63" customFormat="1" hidden="1">
      <c r="A32" s="103"/>
      <c r="B32" s="68"/>
      <c r="C32" s="99"/>
      <c r="D32" s="100" t="e">
        <f ca="1">_xll.BLUEMATRIX2("/servlet/excelData",D31, $C$14,$B31&amp;":"&amp;D$16&amp;D$17&amp;":"&amp;D$19&amp;":"&amp;$B32)</f>
        <v>#NAME?</v>
      </c>
      <c r="E32" s="97" t="e">
        <f ca="1">_xll.BLUEMATRIX2("/servlet/excelData",E31, $C$14,$B31&amp;":"&amp;E$16&amp;E$17&amp;":"&amp;E$19&amp;":"&amp;$B32)</f>
        <v>#NAME?</v>
      </c>
      <c r="F32" s="97" t="e">
        <f ca="1">_xll.BLUEMATRIX2("/servlet/excelData",F31, $C$14,$B31&amp;":"&amp;F$16&amp;F$17&amp;":"&amp;F$19&amp;":"&amp;$B32)</f>
        <v>#NAME?</v>
      </c>
      <c r="G32" s="97" t="e">
        <f ca="1">_xll.BLUEMATRIX2("/servlet/excelData",G31, $C$14,$B31&amp;":"&amp;G$16&amp;G$17&amp;":"&amp;G$19&amp;":"&amp;$B32)</f>
        <v>#NAME?</v>
      </c>
      <c r="H32" s="85" t="e">
        <f ca="1">_xll.BLUEMATRIX2("/servlet/excelData",H31, $C$14,$B31&amp;":"&amp;H$16&amp;H$17&amp;":"&amp;H$19&amp;":"&amp;$B32)</f>
        <v>#NAME?</v>
      </c>
      <c r="I32" s="97" t="e">
        <f ca="1">_xll.BLUEMATRIX2("/servlet/excelData",I31, $C$14,$B31&amp;":"&amp;I$16&amp;I$17&amp;":"&amp;I$19&amp;":"&amp;$B32)</f>
        <v>#NAME?</v>
      </c>
      <c r="J32" s="97" t="e">
        <f ca="1">_xll.BLUEMATRIX2("/servlet/excelData",J31, $C$14,$B31&amp;":"&amp;J$16&amp;J$17&amp;":"&amp;J$19&amp;":"&amp;$B32)</f>
        <v>#NAME?</v>
      </c>
      <c r="K32" s="97" t="e">
        <f ca="1">_xll.BLUEMATRIX2("/servlet/excelData",K31, $C$14,$B31&amp;":"&amp;K$16&amp;K$17&amp;":"&amp;K$19&amp;":"&amp;$B32)</f>
        <v>#NAME?</v>
      </c>
      <c r="L32" s="97" t="e">
        <f ca="1">_xll.BLUEMATRIX2("/servlet/excelData",L31, $C$14,$B31&amp;":"&amp;L$16&amp;L$17&amp;":"&amp;L$19&amp;":"&amp;$B32)</f>
        <v>#NAME?</v>
      </c>
      <c r="M32" s="85" t="e">
        <f ca="1">_xll.BLUEMATRIX2("/servlet/excelData",M31, $C$14,$B31&amp;":"&amp;M$16&amp;M$17&amp;":"&amp;M$19&amp;":"&amp;$B32)</f>
        <v>#NAME?</v>
      </c>
      <c r="N32" s="97" t="e">
        <f ca="1">_xll.BLUEMATRIX2("/servlet/excelData",N31, $C$14,$B31&amp;":"&amp;N$16&amp;N$17&amp;":"&amp;N$19&amp;":"&amp;$B32)</f>
        <v>#NAME?</v>
      </c>
      <c r="O32" s="97" t="e">
        <f ca="1">_xll.BLUEMATRIX2("/servlet/excelData",O31, $C$14,$B31&amp;":"&amp;O$16&amp;O$17&amp;":"&amp;O$19&amp;":"&amp;$B32)</f>
        <v>#NAME?</v>
      </c>
      <c r="P32" s="97" t="e">
        <f ca="1">_xll.BLUEMATRIX2("/servlet/excelData",P31, $C$14,$B31&amp;":"&amp;P$16&amp;P$17&amp;":"&amp;P$19&amp;":"&amp;$B32)</f>
        <v>#NAME?</v>
      </c>
      <c r="Q32" s="97" t="e">
        <f ca="1">_xll.BLUEMATRIX2("/servlet/excelData",Q31, $C$14,$B31&amp;":"&amp;Q$16&amp;Q$17&amp;":"&amp;Q$19&amp;":"&amp;$B32)</f>
        <v>#NAME?</v>
      </c>
      <c r="R32" s="85" t="e">
        <f ca="1">_xll.BLUEMATRIX2("/servlet/excelData",R31, $C$14,$B31&amp;":"&amp;R$16&amp;R$17&amp;":"&amp;R$19&amp;":"&amp;$B32)</f>
        <v>#NAME?</v>
      </c>
      <c r="S32" s="97" t="e">
        <f ca="1">_xll.BLUEMATRIX2("/servlet/excelData",S31, $C$14,$B31&amp;":"&amp;S$16&amp;S$17&amp;":"&amp;S$19&amp;":"&amp;$B32)</f>
        <v>#NAME?</v>
      </c>
      <c r="T32" s="97" t="e">
        <f ca="1">_xll.BLUEMATRIX2("/servlet/excelData",T31, $C$14,$B31&amp;":"&amp;T$16&amp;T$17&amp;":"&amp;T$19&amp;":"&amp;$B32)</f>
        <v>#NAME?</v>
      </c>
      <c r="U32" s="97" t="e">
        <f ca="1">_xll.BLUEMATRIX2("/servlet/excelData",U31, $C$14,$B31&amp;":"&amp;U$16&amp;U$17&amp;":"&amp;U$19&amp;":"&amp;$B32)</f>
        <v>#NAME?</v>
      </c>
      <c r="V32" s="97" t="e">
        <f ca="1">_xll.BLUEMATRIX2("/servlet/excelData",V31, $C$14,$B31&amp;":"&amp;V$16&amp;V$17&amp;":"&amp;V$19&amp;":"&amp;$B32)</f>
        <v>#NAME?</v>
      </c>
      <c r="W32" s="85" t="e">
        <f ca="1">_xll.BLUEMATRIX2("/servlet/excelData",W31, $C$14,$B31&amp;":"&amp;W$16&amp;W$17&amp;":"&amp;W$19&amp;":"&amp;$B32)</f>
        <v>#NAME?</v>
      </c>
      <c r="BI32" s="86"/>
    </row>
    <row r="33" spans="1:68" hidden="1">
      <c r="A33" s="69" t="s">
        <v>65</v>
      </c>
      <c r="B33" s="93" t="s">
        <v>66</v>
      </c>
      <c r="C33" s="59"/>
      <c r="D33" s="70"/>
      <c r="E33" s="71"/>
      <c r="F33" s="71"/>
      <c r="G33" s="71"/>
      <c r="H33" s="72"/>
      <c r="I33" s="71"/>
      <c r="J33" s="71"/>
      <c r="K33" s="71"/>
      <c r="L33" s="71"/>
      <c r="M33" s="72"/>
      <c r="N33" s="71"/>
      <c r="O33" s="71"/>
      <c r="P33" s="71"/>
      <c r="Q33" s="71"/>
      <c r="R33" s="72"/>
      <c r="S33" s="71"/>
      <c r="T33" s="71"/>
      <c r="U33" s="71"/>
      <c r="V33" s="71"/>
      <c r="W33" s="72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6"/>
      <c r="BL33" s="86"/>
      <c r="BM33" s="86"/>
      <c r="BN33" s="86"/>
      <c r="BO33" s="86"/>
      <c r="BP33" s="86"/>
    </row>
    <row r="34" spans="1:68" s="63" customFormat="1" hidden="1">
      <c r="A34" s="101"/>
      <c r="B34" s="62"/>
      <c r="C34" s="94"/>
      <c r="D34" s="102" t="e">
        <f ca="1">_xll.BLUEMATRIX2("/servlet/excelData",D33, $C$14,$B33&amp;":"&amp;D$16&amp;D$17&amp;":"&amp;D$19&amp;":"&amp;$B34)</f>
        <v>#NAME?</v>
      </c>
      <c r="E34" s="95" t="e">
        <f ca="1">_xll.BLUEMATRIX2("/servlet/excelData",E33, $C$14,$B33&amp;":"&amp;E$16&amp;E$17&amp;":"&amp;E$19&amp;":"&amp;$B34)</f>
        <v>#NAME?</v>
      </c>
      <c r="F34" s="95" t="e">
        <f ca="1">_xll.BLUEMATRIX2("/servlet/excelData",F33, $C$14,$B33&amp;":"&amp;F$16&amp;F$17&amp;":"&amp;F$19&amp;":"&amp;$B34)</f>
        <v>#NAME?</v>
      </c>
      <c r="G34" s="95" t="e">
        <f ca="1">_xll.BLUEMATRIX2("/servlet/excelData",G33, $C$14,$B33&amp;":"&amp;G$16&amp;G$17&amp;":"&amp;G$19&amp;":"&amp;$B34)</f>
        <v>#NAME?</v>
      </c>
      <c r="H34" s="96" t="e">
        <f ca="1">_xll.BLUEMATRIX2("/servlet/excelData",H33, $C$14,$B33&amp;":"&amp;H$16&amp;H$17&amp;":"&amp;H$19&amp;":"&amp;$B34)</f>
        <v>#NAME?</v>
      </c>
      <c r="I34" s="95" t="e">
        <f ca="1">_xll.BLUEMATRIX2("/servlet/excelData",I33, $C$14,$B33&amp;":"&amp;I$16&amp;I$17&amp;":"&amp;I$19&amp;":"&amp;$B34)</f>
        <v>#NAME?</v>
      </c>
      <c r="J34" s="95" t="e">
        <f ca="1">_xll.BLUEMATRIX2("/servlet/excelData",J33, $C$14,$B33&amp;":"&amp;J$16&amp;J$17&amp;":"&amp;J$19&amp;":"&amp;$B34)</f>
        <v>#NAME?</v>
      </c>
      <c r="K34" s="95" t="e">
        <f ca="1">_xll.BLUEMATRIX2("/servlet/excelData",K33, $C$14,$B33&amp;":"&amp;K$16&amp;K$17&amp;":"&amp;K$19&amp;":"&amp;$B34)</f>
        <v>#NAME?</v>
      </c>
      <c r="L34" s="95" t="e">
        <f ca="1">_xll.BLUEMATRIX2("/servlet/excelData",L33, $C$14,$B33&amp;":"&amp;L$16&amp;L$17&amp;":"&amp;L$19&amp;":"&amp;$B34)</f>
        <v>#NAME?</v>
      </c>
      <c r="M34" s="96" t="e">
        <f ca="1">_xll.BLUEMATRIX2("/servlet/excelData",M33, $C$14,$B33&amp;":"&amp;M$16&amp;M$17&amp;":"&amp;M$19&amp;":"&amp;$B34)</f>
        <v>#NAME?</v>
      </c>
      <c r="N34" s="95" t="e">
        <f ca="1">_xll.BLUEMATRIX2("/servlet/excelData",N33, $C$14,$B33&amp;":"&amp;N$16&amp;N$17&amp;":"&amp;N$19&amp;":"&amp;$B34)</f>
        <v>#NAME?</v>
      </c>
      <c r="O34" s="95" t="e">
        <f ca="1">_xll.BLUEMATRIX2("/servlet/excelData",O33, $C$14,$B33&amp;":"&amp;O$16&amp;O$17&amp;":"&amp;O$19&amp;":"&amp;$B34)</f>
        <v>#NAME?</v>
      </c>
      <c r="P34" s="95" t="e">
        <f ca="1">_xll.BLUEMATRIX2("/servlet/excelData",P33, $C$14,$B33&amp;":"&amp;P$16&amp;P$17&amp;":"&amp;P$19&amp;":"&amp;$B34)</f>
        <v>#NAME?</v>
      </c>
      <c r="Q34" s="95" t="e">
        <f ca="1">_xll.BLUEMATRIX2("/servlet/excelData",Q33, $C$14,$B33&amp;":"&amp;Q$16&amp;Q$17&amp;":"&amp;Q$19&amp;":"&amp;$B34)</f>
        <v>#NAME?</v>
      </c>
      <c r="R34" s="96" t="e">
        <f ca="1">_xll.BLUEMATRIX2("/servlet/excelData",R33, $C$14,$B33&amp;":"&amp;R$16&amp;R$17&amp;":"&amp;R$19&amp;":"&amp;$B34)</f>
        <v>#NAME?</v>
      </c>
      <c r="S34" s="95" t="e">
        <f ca="1">_xll.BLUEMATRIX2("/servlet/excelData",S33, $C$14,$B33&amp;":"&amp;S$16&amp;S$17&amp;":"&amp;S$19&amp;":"&amp;$B34)</f>
        <v>#NAME?</v>
      </c>
      <c r="T34" s="95" t="e">
        <f ca="1">_xll.BLUEMATRIX2("/servlet/excelData",T33, $C$14,$B33&amp;":"&amp;T$16&amp;T$17&amp;":"&amp;T$19&amp;":"&amp;$B34)</f>
        <v>#NAME?</v>
      </c>
      <c r="U34" s="95" t="e">
        <f ca="1">_xll.BLUEMATRIX2("/servlet/excelData",U33, $C$14,$B33&amp;":"&amp;U$16&amp;U$17&amp;":"&amp;U$19&amp;":"&amp;$B34)</f>
        <v>#NAME?</v>
      </c>
      <c r="V34" s="95" t="e">
        <f ca="1">_xll.BLUEMATRIX2("/servlet/excelData",V33, $C$14,$B33&amp;":"&amp;V$16&amp;V$17&amp;":"&amp;V$19&amp;":"&amp;$B34)</f>
        <v>#NAME?</v>
      </c>
      <c r="W34" s="96" t="e">
        <f ca="1">_xll.BLUEMATRIX2("/servlet/excelData",W33, $C$14,$B33&amp;":"&amp;W$16&amp;W$17&amp;":"&amp;W$19&amp;":"&amp;$B34)</f>
        <v>#NAME?</v>
      </c>
      <c r="BI34" s="86"/>
    </row>
    <row r="35" spans="1:68" hidden="1">
      <c r="A35" s="76" t="s">
        <v>77</v>
      </c>
      <c r="B35" s="104" t="s">
        <v>77</v>
      </c>
      <c r="C35" s="77"/>
      <c r="D35" s="70"/>
      <c r="E35" s="71"/>
      <c r="F35" s="71"/>
      <c r="G35" s="71"/>
      <c r="H35" s="72"/>
      <c r="I35" s="71"/>
      <c r="J35" s="71"/>
      <c r="K35" s="71"/>
      <c r="L35" s="71"/>
      <c r="M35" s="72"/>
      <c r="N35" s="71"/>
      <c r="O35" s="71"/>
      <c r="P35" s="71"/>
      <c r="Q35" s="71"/>
      <c r="R35" s="72"/>
      <c r="S35" s="71"/>
      <c r="T35" s="71"/>
      <c r="U35" s="71"/>
      <c r="V35" s="71"/>
      <c r="W35" s="72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/>
      <c r="BL35" s="86"/>
      <c r="BM35" s="86"/>
      <c r="BN35" s="86"/>
      <c r="BO35" s="86"/>
      <c r="BP35" s="86"/>
    </row>
    <row r="36" spans="1:68" s="63" customFormat="1" hidden="1">
      <c r="A36" s="105"/>
      <c r="B36" s="62"/>
      <c r="C36" s="106"/>
      <c r="D36" s="102" t="e">
        <f ca="1">_xll.BLUEMATRIX2("/servlet/excelData",D35, $C$14,$B35&amp;":"&amp;D$16&amp;D$17&amp;":"&amp;D$19&amp;":"&amp;$B36)</f>
        <v>#NAME?</v>
      </c>
      <c r="E36" s="95" t="e">
        <f ca="1">_xll.BLUEMATRIX2("/servlet/excelData",E35, $C$14,$B35&amp;":"&amp;E$16&amp;E$17&amp;":"&amp;E$19&amp;":"&amp;$B36)</f>
        <v>#NAME?</v>
      </c>
      <c r="F36" s="95" t="e">
        <f ca="1">_xll.BLUEMATRIX2("/servlet/excelData",F35, $C$14,$B35&amp;":"&amp;F$16&amp;F$17&amp;":"&amp;F$19&amp;":"&amp;$B36)</f>
        <v>#NAME?</v>
      </c>
      <c r="G36" s="95" t="e">
        <f ca="1">_xll.BLUEMATRIX2("/servlet/excelData",G35, $C$14,$B35&amp;":"&amp;G$16&amp;G$17&amp;":"&amp;G$19&amp;":"&amp;$B36)</f>
        <v>#NAME?</v>
      </c>
      <c r="H36" s="96" t="e">
        <f ca="1">_xll.BLUEMATRIX2("/servlet/excelData",H35, $C$14,$B35&amp;":"&amp;H$16&amp;H$17&amp;":"&amp;H$19&amp;":"&amp;$B36)</f>
        <v>#NAME?</v>
      </c>
      <c r="I36" s="95" t="e">
        <f ca="1">_xll.BLUEMATRIX2("/servlet/excelData",I35, $C$14,$B35&amp;":"&amp;I$16&amp;I$17&amp;":"&amp;I$19&amp;":"&amp;$B36)</f>
        <v>#NAME?</v>
      </c>
      <c r="J36" s="95" t="e">
        <f ca="1">_xll.BLUEMATRIX2("/servlet/excelData",J35, $C$14,$B35&amp;":"&amp;J$16&amp;J$17&amp;":"&amp;J$19&amp;":"&amp;$B36)</f>
        <v>#NAME?</v>
      </c>
      <c r="K36" s="95" t="e">
        <f ca="1">_xll.BLUEMATRIX2("/servlet/excelData",K35, $C$14,$B35&amp;":"&amp;K$16&amp;K$17&amp;":"&amp;K$19&amp;":"&amp;$B36)</f>
        <v>#NAME?</v>
      </c>
      <c r="L36" s="95" t="e">
        <f ca="1">_xll.BLUEMATRIX2("/servlet/excelData",L35, $C$14,$B35&amp;":"&amp;L$16&amp;L$17&amp;":"&amp;L$19&amp;":"&amp;$B36)</f>
        <v>#NAME?</v>
      </c>
      <c r="M36" s="96" t="e">
        <f ca="1">_xll.BLUEMATRIX2("/servlet/excelData",M35, $C$14,$B35&amp;":"&amp;M$16&amp;M$17&amp;":"&amp;M$19&amp;":"&amp;$B36)</f>
        <v>#NAME?</v>
      </c>
      <c r="N36" s="95" t="e">
        <f ca="1">_xll.BLUEMATRIX2("/servlet/excelData",N35, $C$14,$B35&amp;":"&amp;N$16&amp;N$17&amp;":"&amp;N$19&amp;":"&amp;$B36)</f>
        <v>#NAME?</v>
      </c>
      <c r="O36" s="95" t="e">
        <f ca="1">_xll.BLUEMATRIX2("/servlet/excelData",O35, $C$14,$B35&amp;":"&amp;O$16&amp;O$17&amp;":"&amp;O$19&amp;":"&amp;$B36)</f>
        <v>#NAME?</v>
      </c>
      <c r="P36" s="95" t="e">
        <f ca="1">_xll.BLUEMATRIX2("/servlet/excelData",P35, $C$14,$B35&amp;":"&amp;P$16&amp;P$17&amp;":"&amp;P$19&amp;":"&amp;$B36)</f>
        <v>#NAME?</v>
      </c>
      <c r="Q36" s="95" t="e">
        <f ca="1">_xll.BLUEMATRIX2("/servlet/excelData",Q35, $C$14,$B35&amp;":"&amp;Q$16&amp;Q$17&amp;":"&amp;Q$19&amp;":"&amp;$B36)</f>
        <v>#NAME?</v>
      </c>
      <c r="R36" s="96" t="e">
        <f ca="1">_xll.BLUEMATRIX2("/servlet/excelData",R35, $C$14,$B35&amp;":"&amp;R$16&amp;R$17&amp;":"&amp;R$19&amp;":"&amp;$B36)</f>
        <v>#NAME?</v>
      </c>
      <c r="S36" s="95" t="e">
        <f ca="1">_xll.BLUEMATRIX2("/servlet/excelData",S35, $C$14,$B35&amp;":"&amp;S$16&amp;S$17&amp;":"&amp;S$19&amp;":"&amp;$B36)</f>
        <v>#NAME?</v>
      </c>
      <c r="T36" s="95" t="e">
        <f ca="1">_xll.BLUEMATRIX2("/servlet/excelData",T35, $C$14,$B35&amp;":"&amp;T$16&amp;T$17&amp;":"&amp;T$19&amp;":"&amp;$B36)</f>
        <v>#NAME?</v>
      </c>
      <c r="U36" s="95" t="e">
        <f ca="1">_xll.BLUEMATRIX2("/servlet/excelData",U35, $C$14,$B35&amp;":"&amp;U$16&amp;U$17&amp;":"&amp;U$19&amp;":"&amp;$B36)</f>
        <v>#NAME?</v>
      </c>
      <c r="V36" s="95" t="e">
        <f ca="1">_xll.BLUEMATRIX2("/servlet/excelData",V35, $C$14,$B35&amp;":"&amp;V$16&amp;V$17&amp;":"&amp;V$19&amp;":"&amp;$B36)</f>
        <v>#NAME?</v>
      </c>
      <c r="W36" s="96" t="e">
        <f ca="1">_xll.BLUEMATRIX2("/servlet/excelData",W35, $C$14,$B35&amp;":"&amp;W$16&amp;W$17&amp;":"&amp;W$19&amp;":"&amp;$B36)</f>
        <v>#NAME?</v>
      </c>
      <c r="BI36" s="86"/>
    </row>
    <row r="37" spans="1:68">
      <c r="B37" s="86"/>
      <c r="C37" s="88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/>
      <c r="BL37" s="86"/>
      <c r="BM37" s="86"/>
      <c r="BN37" s="86"/>
      <c r="BO37" s="86"/>
      <c r="BP37" s="86"/>
    </row>
    <row r="38" spans="1:68">
      <c r="A38" s="78"/>
      <c r="B38" s="78"/>
      <c r="C38" s="88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L38" s="86"/>
      <c r="BM38" s="86"/>
      <c r="BN38" s="86"/>
      <c r="BO38" s="86"/>
      <c r="BP38" s="86"/>
    </row>
    <row r="39" spans="1:68">
      <c r="A39" s="78"/>
      <c r="B39" s="78"/>
      <c r="C39" s="88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L39" s="86"/>
      <c r="BM39" s="86"/>
      <c r="BN39" s="86"/>
      <c r="BO39" s="86"/>
      <c r="BP39" s="86"/>
    </row>
    <row r="40" spans="1:68">
      <c r="A40" s="78"/>
      <c r="B40" s="78"/>
      <c r="C40" s="88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/>
      <c r="BL40" s="86"/>
      <c r="BM40" s="86"/>
      <c r="BN40" s="86"/>
      <c r="BO40" s="86"/>
      <c r="BP40" s="86"/>
    </row>
    <row r="41" spans="1:68">
      <c r="A41" s="78"/>
      <c r="B41" s="78"/>
      <c r="C41" s="88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L41" s="86"/>
      <c r="BM41" s="86"/>
      <c r="BN41" s="86"/>
      <c r="BO41" s="86"/>
      <c r="BP41" s="86"/>
    </row>
    <row r="42" spans="1:68">
      <c r="A42" s="78"/>
      <c r="B42" s="78"/>
      <c r="C42" s="88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/>
      <c r="BL42" s="86"/>
      <c r="BM42" s="86"/>
      <c r="BN42" s="86"/>
      <c r="BO42" s="86"/>
      <c r="BP42" s="86"/>
    </row>
    <row r="43" spans="1:68">
      <c r="A43" s="78"/>
      <c r="B43" s="78"/>
      <c r="C43" s="88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L43" s="86"/>
      <c r="BM43" s="86"/>
      <c r="BN43" s="86"/>
      <c r="BO43" s="86"/>
      <c r="BP43" s="86"/>
    </row>
    <row r="44" spans="1:68">
      <c r="C44" s="88"/>
      <c r="D44" s="32" t="s">
        <v>78</v>
      </c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L44" s="86"/>
      <c r="BM44" s="86"/>
      <c r="BN44" s="86"/>
      <c r="BO44" s="86"/>
      <c r="BP44" s="86"/>
    </row>
    <row r="45" spans="1:68">
      <c r="A45" s="32" t="s">
        <v>79</v>
      </c>
      <c r="B45" s="32">
        <v>3</v>
      </c>
      <c r="C45" s="107"/>
      <c r="D45" s="86">
        <v>0</v>
      </c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L45" s="86"/>
      <c r="BM45" s="86"/>
      <c r="BN45" s="86"/>
      <c r="BO45" s="86"/>
      <c r="BP45" s="86"/>
    </row>
    <row r="46" spans="1:68">
      <c r="A46" s="32" t="s">
        <v>80</v>
      </c>
      <c r="B46" s="32">
        <v>6</v>
      </c>
      <c r="C46" s="107"/>
      <c r="D46" s="86">
        <v>0</v>
      </c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L46" s="86"/>
      <c r="BM46" s="86"/>
      <c r="BN46" s="86"/>
      <c r="BO46" s="86"/>
      <c r="BP46" s="86"/>
    </row>
    <row r="47" spans="1:68">
      <c r="A47" s="32" t="s">
        <v>81</v>
      </c>
      <c r="B47" s="32">
        <v>9</v>
      </c>
      <c r="C47" s="107"/>
      <c r="D47" s="86">
        <v>0</v>
      </c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L47" s="86"/>
      <c r="BM47" s="86"/>
      <c r="BN47" s="86"/>
      <c r="BO47" s="86"/>
      <c r="BP47" s="86"/>
    </row>
    <row r="48" spans="1:68">
      <c r="A48" s="32" t="s">
        <v>82</v>
      </c>
      <c r="B48" s="32">
        <v>12</v>
      </c>
      <c r="C48" s="107"/>
      <c r="D48" s="86">
        <v>0</v>
      </c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L48" s="86"/>
      <c r="BM48" s="86"/>
      <c r="BN48" s="86"/>
      <c r="BO48" s="86"/>
      <c r="BP48" s="86"/>
    </row>
    <row r="49" spans="3:68">
      <c r="C49" s="88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L49" s="86"/>
      <c r="BM49" s="86"/>
      <c r="BN49" s="86"/>
      <c r="BO49" s="86"/>
      <c r="BP49" s="86"/>
    </row>
    <row r="50" spans="3:68">
      <c r="C50" s="88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L50" s="86"/>
      <c r="BM50" s="86"/>
      <c r="BN50" s="86"/>
      <c r="BO50" s="86"/>
      <c r="BP50" s="86"/>
    </row>
    <row r="51" spans="3:68">
      <c r="C51" s="88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L51" s="86"/>
      <c r="BM51" s="86"/>
      <c r="BN51" s="86"/>
      <c r="BO51" s="86"/>
      <c r="BP51" s="86"/>
    </row>
    <row r="52" spans="3:68">
      <c r="C52" s="88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L52" s="86"/>
      <c r="BM52" s="86"/>
      <c r="BN52" s="86"/>
      <c r="BO52" s="86"/>
      <c r="BP52" s="86"/>
    </row>
    <row r="53" spans="3:68">
      <c r="C53" s="88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/>
      <c r="BL53" s="86"/>
      <c r="BM53" s="86"/>
      <c r="BN53" s="86"/>
      <c r="BO53" s="86"/>
      <c r="BP53" s="86"/>
    </row>
    <row r="54" spans="3:68">
      <c r="C54" s="88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/>
      <c r="BL54" s="86"/>
      <c r="BM54" s="86"/>
      <c r="BN54" s="86"/>
      <c r="BO54" s="86"/>
      <c r="BP54" s="86"/>
    </row>
    <row r="55" spans="3:68">
      <c r="C55" s="88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L55" s="86"/>
      <c r="BM55" s="86"/>
      <c r="BN55" s="86"/>
      <c r="BO55" s="86"/>
      <c r="BP55" s="86"/>
    </row>
    <row r="56" spans="3:68">
      <c r="C56" s="88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L56" s="86"/>
      <c r="BM56" s="86"/>
      <c r="BN56" s="86"/>
      <c r="BO56" s="86"/>
      <c r="BP56" s="86"/>
    </row>
    <row r="57" spans="3:68">
      <c r="C57" s="88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L57" s="86"/>
      <c r="BM57" s="86"/>
      <c r="BN57" s="86"/>
      <c r="BO57" s="86"/>
      <c r="BP57" s="86"/>
    </row>
    <row r="58" spans="3:68">
      <c r="C58" s="88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L58" s="86"/>
      <c r="BM58" s="86"/>
      <c r="BN58" s="86"/>
      <c r="BO58" s="86"/>
      <c r="BP58" s="86"/>
    </row>
    <row r="59" spans="3:68">
      <c r="C59" s="88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L59" s="86"/>
      <c r="BM59" s="86"/>
      <c r="BN59" s="86"/>
      <c r="BO59" s="86"/>
      <c r="BP59" s="86"/>
    </row>
    <row r="60" spans="3:68">
      <c r="C60" s="88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L60" s="86"/>
      <c r="BM60" s="86"/>
      <c r="BN60" s="86"/>
      <c r="BO60" s="86"/>
      <c r="BP60" s="86"/>
    </row>
  </sheetData>
  <dataValidations disablePrompts="1" count="2">
    <dataValidation type="list" allowBlank="1" showInputMessage="1" showErrorMessage="1" sqref="C10" xr:uid="{00000000-0002-0000-0100-000000000000}">
      <formula1>$CB$5:$CB$12</formula1>
    </dataValidation>
    <dataValidation type="list" allowBlank="1" showInputMessage="1" showErrorMessage="1" sqref="B36 B30 B28 B22 B24 B26 B32 B34" xr:uid="{00000000-0002-0000-0100-000001000000}">
      <formula1>$BI$1:$BI$26</formula1>
    </dataValidation>
  </dataValidations>
  <hyperlinks>
    <hyperlink ref="A4" r:id="rId1" xr:uid="{00000000-0004-0000-0100-000000000000}"/>
    <hyperlink ref="B18" r:id="rId2" display="Q@" xr:uid="{00000000-0004-0000-0100-000001000000}"/>
  </hyperlinks>
  <pageMargins left="0.7" right="0.7" top="0.75" bottom="0.75" header="0.3" footer="0.3"/>
  <pageSetup orientation="portrait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2:Y60"/>
  <sheetViews>
    <sheetView showGridLines="0" view="pageBreakPreview" zoomScale="80" zoomScaleNormal="85" zoomScaleSheetLayoutView="80" workbookViewId="0">
      <selection activeCell="G23" sqref="G23"/>
    </sheetView>
  </sheetViews>
  <sheetFormatPr defaultColWidth="9.3984375" defaultRowHeight="15.4" outlineLevelRow="1"/>
  <cols>
    <col min="1" max="1" width="2.59765625" style="116" customWidth="1"/>
    <col min="2" max="2" width="31" style="3" customWidth="1"/>
    <col min="3" max="3" width="1.3984375" style="3" customWidth="1"/>
    <col min="4" max="5" width="11.3984375" style="3" bestFit="1" customWidth="1"/>
    <col min="6" max="6" width="11.59765625" style="3" bestFit="1" customWidth="1"/>
    <col min="7" max="7" width="11.3984375" style="3" bestFit="1" customWidth="1"/>
    <col min="8" max="8" width="2.3984375" style="82" customWidth="1"/>
    <col min="9" max="9" width="11.59765625" style="82" bestFit="1" customWidth="1"/>
    <col min="10" max="10" width="10.59765625" style="82" bestFit="1" customWidth="1"/>
    <col min="11" max="11" width="4.59765625" style="82" bestFit="1" customWidth="1"/>
    <col min="12" max="12" width="8.59765625" style="1" bestFit="1" customWidth="1"/>
    <col min="13" max="13" width="10.59765625" style="1" bestFit="1" customWidth="1"/>
    <col min="14" max="14" width="4.59765625" style="1" customWidth="1"/>
    <col min="15" max="15" width="8.3984375" style="1" bestFit="1" customWidth="1"/>
    <col min="16" max="16" width="10.59765625" style="1" bestFit="1" customWidth="1"/>
    <col min="17" max="17" width="4.59765625" style="1" bestFit="1" customWidth="1"/>
    <col min="18" max="20" width="8.59765625" customWidth="1"/>
    <col min="21" max="23" width="10.86328125" style="1" bestFit="1" customWidth="1"/>
    <col min="24" max="16384" width="9.3984375" style="1"/>
  </cols>
  <sheetData>
    <row r="2" spans="1:25" ht="15.75" thickBot="1"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1"/>
      <c r="N2" s="630"/>
      <c r="O2" s="630"/>
      <c r="P2" s="631"/>
      <c r="Q2" s="630"/>
    </row>
    <row r="3" spans="1:25" ht="17.649999999999999">
      <c r="B3" s="165" t="s">
        <v>164</v>
      </c>
      <c r="C3" s="80"/>
      <c r="D3" s="80"/>
      <c r="E3" s="2"/>
      <c r="F3" s="2"/>
      <c r="G3" s="2"/>
      <c r="H3" s="2"/>
      <c r="I3" s="2"/>
      <c r="J3" s="2"/>
      <c r="K3" s="2"/>
      <c r="L3" s="2"/>
      <c r="M3" s="2"/>
      <c r="N3" s="81"/>
      <c r="O3" s="2"/>
      <c r="P3" s="2"/>
      <c r="Q3" s="81"/>
    </row>
    <row r="4" spans="1:25">
      <c r="B4" s="166" t="s">
        <v>292</v>
      </c>
      <c r="C4" s="166"/>
      <c r="D4" s="166"/>
      <c r="E4" s="153"/>
      <c r="F4" s="153"/>
      <c r="G4" s="153"/>
      <c r="H4" s="166"/>
      <c r="I4" s="166"/>
      <c r="J4" s="166"/>
      <c r="K4" s="166"/>
      <c r="L4" s="166"/>
      <c r="M4" s="166"/>
      <c r="N4" s="166"/>
      <c r="O4" s="166"/>
      <c r="P4" s="166"/>
      <c r="Q4" s="166"/>
      <c r="T4" t="s">
        <v>375</v>
      </c>
    </row>
    <row r="5" spans="1:25" ht="15.75" thickBot="1">
      <c r="B5" s="166"/>
      <c r="C5" s="166"/>
      <c r="D5" s="167" t="s">
        <v>83</v>
      </c>
      <c r="E5" s="167" t="s">
        <v>83</v>
      </c>
      <c r="F5" s="730" t="s">
        <v>501</v>
      </c>
      <c r="G5" s="167" t="s">
        <v>83</v>
      </c>
      <c r="H5" s="166"/>
      <c r="I5" s="804" t="s">
        <v>84</v>
      </c>
      <c r="J5" s="804"/>
      <c r="K5" s="166"/>
      <c r="L5" s="804" t="s">
        <v>86</v>
      </c>
      <c r="M5" s="804"/>
      <c r="N5" s="166"/>
      <c r="O5" s="804" t="s">
        <v>85</v>
      </c>
      <c r="P5" s="804"/>
      <c r="Q5" s="166"/>
      <c r="T5" s="167" t="s">
        <v>376</v>
      </c>
      <c r="U5" s="567" t="s">
        <v>371</v>
      </c>
      <c r="V5" s="567" t="s">
        <v>372</v>
      </c>
      <c r="W5" s="567" t="s">
        <v>373</v>
      </c>
    </row>
    <row r="6" spans="1:25">
      <c r="B6" s="166"/>
      <c r="C6" s="166"/>
      <c r="D6" s="168" t="str">
        <f>IS!BO6</f>
        <v>4Q-Dec 24A</v>
      </c>
      <c r="E6" s="168" t="s">
        <v>544</v>
      </c>
      <c r="F6" s="168" t="s">
        <v>440</v>
      </c>
      <c r="G6" s="168" t="str">
        <f>IS!BT6</f>
        <v>4Q-Dec 25A</v>
      </c>
      <c r="H6" s="166"/>
      <c r="I6" s="168" t="s">
        <v>87</v>
      </c>
      <c r="J6" s="168" t="s">
        <v>88</v>
      </c>
      <c r="K6" s="166"/>
      <c r="L6" s="168" t="s">
        <v>87</v>
      </c>
      <c r="M6" s="168" t="s">
        <v>88</v>
      </c>
      <c r="N6" s="166"/>
      <c r="O6" s="168" t="s">
        <v>87</v>
      </c>
      <c r="P6" s="168" t="s">
        <v>88</v>
      </c>
      <c r="Q6" s="166"/>
      <c r="T6" t="s">
        <v>374</v>
      </c>
      <c r="U6" s="727">
        <v>154500</v>
      </c>
      <c r="V6" s="727">
        <v>157500</v>
      </c>
      <c r="W6" s="460">
        <f>AVERAGE(V6,U6)</f>
        <v>156000</v>
      </c>
    </row>
    <row r="7" spans="1:25">
      <c r="B7" s="166"/>
      <c r="C7" s="166"/>
      <c r="D7" s="168"/>
      <c r="E7" s="168"/>
      <c r="F7" s="168"/>
      <c r="G7" s="168"/>
      <c r="H7" s="166"/>
      <c r="I7" s="168"/>
      <c r="J7" s="168"/>
      <c r="K7" s="166"/>
      <c r="L7" s="168"/>
      <c r="M7" s="168"/>
      <c r="N7" s="166"/>
      <c r="O7" s="168"/>
      <c r="P7" s="168"/>
      <c r="Q7" s="166"/>
      <c r="T7" t="s">
        <v>68</v>
      </c>
      <c r="U7" s="726">
        <v>5.81</v>
      </c>
      <c r="V7" s="726">
        <v>5.91</v>
      </c>
      <c r="W7" s="728">
        <f>AVERAGE(V7,U7)</f>
        <v>5.8599999999999994</v>
      </c>
    </row>
    <row r="8" spans="1:25">
      <c r="B8" s="242" t="s">
        <v>392</v>
      </c>
      <c r="C8" s="166"/>
      <c r="D8" s="237">
        <f>+IS!BO7</f>
        <v>192827</v>
      </c>
      <c r="E8" s="237">
        <v>186387</v>
      </c>
      <c r="F8" s="237">
        <v>205709.83299999998</v>
      </c>
      <c r="G8" s="237">
        <f>+IS!BT7</f>
        <v>204933</v>
      </c>
      <c r="H8" s="166"/>
      <c r="I8" s="171">
        <f>+G8/F8-1</f>
        <v>-3.7763532674687239E-3</v>
      </c>
      <c r="J8" s="301">
        <f>+G8-F8</f>
        <v>-776.83299999998417</v>
      </c>
      <c r="K8" s="166"/>
      <c r="L8" s="171">
        <f>+G8/D8-1</f>
        <v>6.278166439347177E-2</v>
      </c>
      <c r="M8" s="301">
        <f>+G8-D8</f>
        <v>12106</v>
      </c>
      <c r="N8" s="166"/>
      <c r="O8" s="171">
        <f>+G8/E8-1</f>
        <v>9.9502647716847248E-2</v>
      </c>
      <c r="P8" s="301">
        <f>+G8-E8</f>
        <v>18546</v>
      </c>
      <c r="Q8" s="166"/>
      <c r="T8" s="1"/>
      <c r="U8" s="225"/>
      <c r="V8" s="225"/>
      <c r="W8" s="195"/>
    </row>
    <row r="9" spans="1:25" ht="6.6" customHeight="1">
      <c r="B9" s="242"/>
      <c r="C9" s="166"/>
      <c r="D9" s="237"/>
      <c r="E9" s="237"/>
      <c r="F9" s="237"/>
      <c r="G9" s="237"/>
      <c r="H9" s="166"/>
      <c r="I9" s="171"/>
      <c r="J9" s="301"/>
      <c r="K9" s="166"/>
      <c r="L9" s="171"/>
      <c r="M9" s="301"/>
      <c r="N9" s="166"/>
      <c r="O9" s="171"/>
      <c r="P9" s="301"/>
      <c r="Q9" s="166"/>
      <c r="U9" s="225"/>
      <c r="V9" s="225"/>
      <c r="W9" s="195"/>
    </row>
    <row r="10" spans="1:25" ht="15.75" thickBot="1">
      <c r="B10" s="212" t="s">
        <v>157</v>
      </c>
      <c r="C10" s="170"/>
      <c r="D10" s="237">
        <f>+IS!BO9</f>
        <v>159191</v>
      </c>
      <c r="E10" s="237">
        <v>169882</v>
      </c>
      <c r="F10" s="237">
        <v>173040.617</v>
      </c>
      <c r="G10" s="237">
        <f>+IS!BT9</f>
        <v>175282</v>
      </c>
      <c r="H10" s="166"/>
      <c r="I10" s="171">
        <f>+G10/F10-1</f>
        <v>1.2952930004866969E-2</v>
      </c>
      <c r="J10" s="301">
        <f>+G10-F10</f>
        <v>2241.3830000000016</v>
      </c>
      <c r="K10" s="166"/>
      <c r="L10" s="171">
        <f>+G10/D10-1</f>
        <v>0.10107983491529038</v>
      </c>
      <c r="M10" s="301">
        <f>+G10-D10</f>
        <v>16091</v>
      </c>
      <c r="N10" s="166"/>
      <c r="O10" s="171">
        <f>+G10/E10-1</f>
        <v>3.1786769640103074E-2</v>
      </c>
      <c r="P10" s="301">
        <f>+G10-E10</f>
        <v>5400</v>
      </c>
      <c r="Q10" s="166"/>
      <c r="T10" s="167" t="s">
        <v>378</v>
      </c>
      <c r="U10" s="567" t="s">
        <v>371</v>
      </c>
      <c r="V10" s="567" t="s">
        <v>372</v>
      </c>
      <c r="W10" s="567" t="s">
        <v>373</v>
      </c>
      <c r="X10" s="567" t="s">
        <v>379</v>
      </c>
      <c r="Y10" s="567" t="s">
        <v>380</v>
      </c>
    </row>
    <row r="11" spans="1:25">
      <c r="A11" s="118"/>
      <c r="B11" s="218" t="s">
        <v>502</v>
      </c>
      <c r="C11" s="459" t="s">
        <v>551</v>
      </c>
      <c r="D11" s="237"/>
      <c r="E11" s="237"/>
      <c r="F11" s="237">
        <v>173160</v>
      </c>
      <c r="G11" s="237"/>
      <c r="H11" s="166"/>
      <c r="I11" s="171">
        <f>+G10/F11-1</f>
        <v>1.2254562254562229E-2</v>
      </c>
      <c r="J11" s="301">
        <f>+G10-F11</f>
        <v>2122</v>
      </c>
      <c r="K11" s="166"/>
      <c r="L11" s="172"/>
      <c r="M11" s="303"/>
      <c r="N11" s="166"/>
      <c r="O11" s="172"/>
      <c r="P11" s="172"/>
      <c r="Q11" s="166"/>
      <c r="T11" t="s">
        <v>374</v>
      </c>
      <c r="U11" s="571"/>
      <c r="V11" s="571"/>
      <c r="W11" s="566" t="e">
        <f>+AVERAGE(U11:V11)</f>
        <v>#DIV/0!</v>
      </c>
      <c r="X11" s="568" t="e">
        <f>+W11-W18</f>
        <v>#DIV/0!</v>
      </c>
      <c r="Y11" s="569" t="e">
        <f>+W11/W18-1</f>
        <v>#DIV/0!</v>
      </c>
    </row>
    <row r="12" spans="1:25" ht="20.45" customHeight="1">
      <c r="B12" s="206" t="s">
        <v>438</v>
      </c>
      <c r="C12" s="166"/>
      <c r="D12" s="245">
        <f>+IS!BO14</f>
        <v>26236</v>
      </c>
      <c r="E12" s="245">
        <v>24987</v>
      </c>
      <c r="F12" s="245">
        <v>26821.295635000017</v>
      </c>
      <c r="G12" s="245">
        <f>+IS!BT14</f>
        <v>26241</v>
      </c>
      <c r="H12" s="173"/>
      <c r="I12" s="171">
        <f>+G12/F12-1</f>
        <v>-2.1635630243110548E-2</v>
      </c>
      <c r="J12" s="245">
        <f>+G12-F12</f>
        <v>-580.29563500001677</v>
      </c>
      <c r="K12" s="166"/>
      <c r="L12" s="171">
        <f>+G12/D12-1</f>
        <v>1.9057783198661582E-4</v>
      </c>
      <c r="M12" s="299">
        <f>+G12-D12</f>
        <v>5</v>
      </c>
      <c r="N12" s="166"/>
      <c r="O12" s="171">
        <f>+G12/E12-1</f>
        <v>5.0186096770320487E-2</v>
      </c>
      <c r="P12" s="299">
        <f>+G12-E12</f>
        <v>1254</v>
      </c>
      <c r="Q12" s="166"/>
      <c r="T12" t="s">
        <v>68</v>
      </c>
      <c r="U12" s="572"/>
      <c r="V12" s="572"/>
      <c r="W12" s="195" t="e">
        <f>+AVERAGE(U12:V12)</f>
        <v>#DIV/0!</v>
      </c>
      <c r="X12" s="225" t="e">
        <f>+W12-W19</f>
        <v>#DIV/0!</v>
      </c>
      <c r="Y12" s="570" t="e">
        <f>+W12/W19-1</f>
        <v>#DIV/0!</v>
      </c>
    </row>
    <row r="13" spans="1:25" ht="7.5" customHeight="1">
      <c r="B13" s="206"/>
      <c r="C13" s="166"/>
      <c r="D13" s="238" t="s">
        <v>0</v>
      </c>
      <c r="E13" s="238" t="s">
        <v>0</v>
      </c>
      <c r="F13" s="238" t="s">
        <v>0</v>
      </c>
      <c r="G13" s="238" t="s">
        <v>0</v>
      </c>
      <c r="H13" s="166"/>
      <c r="I13" s="174" t="s">
        <v>0</v>
      </c>
      <c r="J13" s="188" t="s">
        <v>0</v>
      </c>
      <c r="K13" s="166"/>
      <c r="L13" s="174" t="s">
        <v>0</v>
      </c>
      <c r="M13" s="188" t="s">
        <v>0</v>
      </c>
      <c r="N13" s="166"/>
      <c r="O13" s="174" t="s">
        <v>0</v>
      </c>
      <c r="P13" s="188" t="s">
        <v>0</v>
      </c>
      <c r="Q13" s="166"/>
    </row>
    <row r="14" spans="1:25">
      <c r="B14" s="186" t="s">
        <v>1</v>
      </c>
      <c r="C14" s="175"/>
      <c r="D14" s="189">
        <f t="shared" ref="D14" si="0">+D10-D12</f>
        <v>132955</v>
      </c>
      <c r="E14" s="189">
        <v>144895</v>
      </c>
      <c r="F14" s="189">
        <v>146219.32136499998</v>
      </c>
      <c r="G14" s="189">
        <f t="shared" ref="G14" si="1">+G10-G12</f>
        <v>149041</v>
      </c>
      <c r="H14" s="176"/>
      <c r="I14" s="171">
        <f>+G14/F14-1</f>
        <v>1.9297577150945822E-2</v>
      </c>
      <c r="J14" s="245">
        <f>+G14-F14</f>
        <v>2821.6786350000184</v>
      </c>
      <c r="K14" s="166"/>
      <c r="L14" s="171">
        <f>+G14/D14-1</f>
        <v>0.12098830431348961</v>
      </c>
      <c r="M14" s="299">
        <f>+G14-D14</f>
        <v>16086</v>
      </c>
      <c r="N14" s="166"/>
      <c r="O14" s="171">
        <f>+G14/E14-1</f>
        <v>2.8613823803443905E-2</v>
      </c>
      <c r="P14" s="299">
        <f>+G14-E14</f>
        <v>4146</v>
      </c>
      <c r="Q14" s="166"/>
    </row>
    <row r="15" spans="1:25" s="6" customFormat="1" ht="15">
      <c r="A15" s="117"/>
      <c r="B15" s="186" t="s">
        <v>182</v>
      </c>
      <c r="C15" s="170"/>
      <c r="D15" s="171">
        <f t="shared" ref="D15:G15" si="2">+D14/D10</f>
        <v>0.83519168797231003</v>
      </c>
      <c r="E15" s="171">
        <v>0.85291555314865608</v>
      </c>
      <c r="F15" s="171">
        <v>0.84499999999999986</v>
      </c>
      <c r="G15" s="171">
        <f t="shared" si="2"/>
        <v>0.8502926712383474</v>
      </c>
      <c r="H15" s="170"/>
      <c r="I15" s="171">
        <f>+G15/F15-1</f>
        <v>6.263516258399493E-3</v>
      </c>
      <c r="J15" s="245">
        <f>+(G15-F15)*10000</f>
        <v>52.926712383475348</v>
      </c>
      <c r="K15" s="166" t="s">
        <v>89</v>
      </c>
      <c r="L15" s="171">
        <f>+G15/D15-1</f>
        <v>1.8080859141091032E-2</v>
      </c>
      <c r="M15" s="245">
        <f>+(G15-D15)*10000</f>
        <v>151.00983266037372</v>
      </c>
      <c r="N15" s="166" t="s">
        <v>89</v>
      </c>
      <c r="O15" s="171">
        <f>+G15/E15-1</f>
        <v>-3.0751953116882058E-3</v>
      </c>
      <c r="P15" s="245">
        <f>+(G15-E15)*10000</f>
        <v>-26.228819103086831</v>
      </c>
      <c r="Q15" s="166" t="s">
        <v>89</v>
      </c>
    </row>
    <row r="16" spans="1:25" ht="4.5" customHeight="1">
      <c r="B16" s="206"/>
      <c r="C16" s="170"/>
      <c r="D16" s="216"/>
      <c r="E16" s="216"/>
      <c r="F16" s="216"/>
      <c r="G16" s="216"/>
      <c r="H16" s="166"/>
      <c r="I16" s="182"/>
      <c r="J16" s="182"/>
      <c r="K16" s="166"/>
      <c r="L16" s="182"/>
      <c r="M16" s="182"/>
      <c r="N16" s="166"/>
      <c r="O16" s="182"/>
      <c r="P16" s="182"/>
      <c r="Q16" s="166"/>
    </row>
    <row r="17" spans="1:23" ht="12" customHeight="1" thickBot="1">
      <c r="B17" s="212" t="s">
        <v>5</v>
      </c>
      <c r="C17" s="175"/>
      <c r="D17" s="181"/>
      <c r="E17" s="181"/>
      <c r="F17" s="181"/>
      <c r="G17" s="181"/>
      <c r="H17" s="166"/>
      <c r="I17" s="171"/>
      <c r="J17" s="245"/>
      <c r="K17" s="166"/>
      <c r="L17" s="171"/>
      <c r="M17" s="299"/>
      <c r="N17" s="166"/>
      <c r="O17" s="171"/>
      <c r="P17" s="299"/>
      <c r="Q17" s="166"/>
      <c r="R17" s="1"/>
      <c r="S17" s="1"/>
      <c r="T17" s="167" t="s">
        <v>377</v>
      </c>
      <c r="U17" s="567" t="s">
        <v>371</v>
      </c>
      <c r="V17" s="567" t="s">
        <v>372</v>
      </c>
      <c r="W17" s="567" t="s">
        <v>373</v>
      </c>
    </row>
    <row r="18" spans="1:23" outlineLevel="1">
      <c r="B18" s="186" t="s">
        <v>6</v>
      </c>
      <c r="C18" s="175"/>
      <c r="D18" s="216">
        <f>+IS!BO21</f>
        <v>23025</v>
      </c>
      <c r="E18" s="216">
        <v>23720</v>
      </c>
      <c r="F18" s="216">
        <v>23245.599999999999</v>
      </c>
      <c r="G18" s="216">
        <f>+IS!BT21</f>
        <v>24167</v>
      </c>
      <c r="H18" s="166"/>
      <c r="I18" s="171">
        <f>+G18/F18-1</f>
        <v>3.9637608837801652E-2</v>
      </c>
      <c r="J18" s="458">
        <f>+G18-F18</f>
        <v>921.40000000000146</v>
      </c>
      <c r="K18" s="166"/>
      <c r="L18" s="171">
        <f>+G18/D18-1</f>
        <v>4.9598262757871936E-2</v>
      </c>
      <c r="M18" s="299">
        <f>+G18-D18</f>
        <v>1142</v>
      </c>
      <c r="N18" s="166"/>
      <c r="O18" s="171">
        <f>+G18/E18-1</f>
        <v>1.8844856661045517E-2</v>
      </c>
      <c r="P18" s="299">
        <f>+G18-E18</f>
        <v>447</v>
      </c>
      <c r="Q18" s="166"/>
      <c r="R18" s="1"/>
      <c r="S18" s="1"/>
      <c r="T18" t="s">
        <v>374</v>
      </c>
      <c r="U18" s="568"/>
      <c r="V18" s="568"/>
      <c r="W18" s="566"/>
    </row>
    <row r="19" spans="1:23" outlineLevel="1">
      <c r="B19" s="186" t="s">
        <v>7</v>
      </c>
      <c r="C19" s="184"/>
      <c r="D19" s="171">
        <f t="shared" ref="D19:G19" si="3">+D18/D10</f>
        <v>0.14463757373218336</v>
      </c>
      <c r="E19" s="171">
        <v>0.13962632886356413</v>
      </c>
      <c r="F19" s="171">
        <v>0.13433609058386564</v>
      </c>
      <c r="G19" s="171">
        <f t="shared" si="3"/>
        <v>0.1378749671957189</v>
      </c>
      <c r="H19" s="166"/>
      <c r="I19" s="171"/>
      <c r="J19" s="458">
        <f>+(G19-F19)*10000</f>
        <v>35.388766118532587</v>
      </c>
      <c r="K19" s="166" t="s">
        <v>89</v>
      </c>
      <c r="L19" s="171"/>
      <c r="M19" s="245">
        <f>+(G19-D19)*10000</f>
        <v>-67.626065364644603</v>
      </c>
      <c r="N19" s="166" t="s">
        <v>89</v>
      </c>
      <c r="O19" s="171"/>
      <c r="P19" s="245">
        <f>+(G19-E19)*10000</f>
        <v>-17.513616678452305</v>
      </c>
      <c r="Q19" s="166" t="s">
        <v>89</v>
      </c>
      <c r="T19" t="s">
        <v>68</v>
      </c>
      <c r="U19" s="225"/>
      <c r="V19" s="225"/>
      <c r="W19" s="195"/>
    </row>
    <row r="20" spans="1:23" outlineLevel="1">
      <c r="B20" s="186" t="s">
        <v>118</v>
      </c>
      <c r="C20" s="184"/>
      <c r="D20" s="216">
        <f>+IS!BO26</f>
        <v>30393</v>
      </c>
      <c r="E20" s="216">
        <v>31790</v>
      </c>
      <c r="F20" s="216">
        <v>32425.8</v>
      </c>
      <c r="G20" s="216">
        <f>+IS!BT26</f>
        <v>35721</v>
      </c>
      <c r="H20" s="166"/>
      <c r="I20" s="171">
        <f>+G20/F20-1</f>
        <v>0.10162278185889018</v>
      </c>
      <c r="J20" s="458">
        <f>+G20-F20</f>
        <v>3295.2000000000007</v>
      </c>
      <c r="K20" s="166"/>
      <c r="L20" s="171">
        <f>+G20/D20-1</f>
        <v>0.17530352383772585</v>
      </c>
      <c r="M20" s="299">
        <f>+G20-D20</f>
        <v>5328</v>
      </c>
      <c r="N20" s="166"/>
      <c r="O20" s="171">
        <f>+G20/E20-1</f>
        <v>0.12365523749606799</v>
      </c>
      <c r="P20" s="299">
        <f>+G20-E20</f>
        <v>3931</v>
      </c>
      <c r="Q20" s="166"/>
    </row>
    <row r="21" spans="1:23" outlineLevel="1">
      <c r="B21" s="186" t="s">
        <v>7</v>
      </c>
      <c r="C21" s="184"/>
      <c r="D21" s="171">
        <f t="shared" ref="D21:G21" si="4">+D20/D10</f>
        <v>0.19092159732648203</v>
      </c>
      <c r="E21" s="171">
        <v>0.18712989015905157</v>
      </c>
      <c r="F21" s="171">
        <v>0.18738837483456269</v>
      </c>
      <c r="G21" s="171">
        <f t="shared" si="4"/>
        <v>0.20379160438607502</v>
      </c>
      <c r="H21" s="166"/>
      <c r="I21" s="171"/>
      <c r="J21" s="245">
        <f>+(G21-F21)*10000</f>
        <v>164.03229551512328</v>
      </c>
      <c r="K21" s="166" t="s">
        <v>89</v>
      </c>
      <c r="L21" s="171"/>
      <c r="M21" s="245">
        <f>+(G21-D21)*10000</f>
        <v>128.70007059592987</v>
      </c>
      <c r="N21" s="166" t="s">
        <v>89</v>
      </c>
      <c r="O21" s="171"/>
      <c r="P21" s="245">
        <f>+(G21-E21)*10000</f>
        <v>166.6171422702345</v>
      </c>
      <c r="Q21" s="166" t="s">
        <v>89</v>
      </c>
    </row>
    <row r="22" spans="1:23" ht="15" outlineLevel="1">
      <c r="B22" s="186" t="s">
        <v>120</v>
      </c>
      <c r="C22" s="175"/>
      <c r="D22" s="216">
        <f>+IS!BO31</f>
        <v>8806</v>
      </c>
      <c r="E22" s="216">
        <v>9344</v>
      </c>
      <c r="F22" s="216">
        <v>9157.119999999999</v>
      </c>
      <c r="G22" s="216">
        <f>+IS!BT31</f>
        <v>9026</v>
      </c>
      <c r="H22" s="166"/>
      <c r="I22" s="171">
        <f>+G22/F22-1</f>
        <v>-1.4318912496505298E-2</v>
      </c>
      <c r="J22" s="245">
        <f>+G22-F22</f>
        <v>-131.11999999999898</v>
      </c>
      <c r="K22" s="166"/>
      <c r="L22" s="171">
        <f>+G22/D22-1</f>
        <v>2.4982966159436737E-2</v>
      </c>
      <c r="M22" s="299">
        <f>+G22-D22</f>
        <v>220</v>
      </c>
      <c r="N22" s="166"/>
      <c r="O22" s="171">
        <f>+G22/E22-1</f>
        <v>-3.4032534246575374E-2</v>
      </c>
      <c r="P22" s="299">
        <f>+G22-E22</f>
        <v>-318</v>
      </c>
      <c r="Q22" s="166"/>
      <c r="R22" s="1"/>
      <c r="S22" s="1"/>
      <c r="T22" s="1"/>
    </row>
    <row r="23" spans="1:23" outlineLevel="1">
      <c r="B23" s="186" t="s">
        <v>7</v>
      </c>
      <c r="C23" s="175"/>
      <c r="D23" s="187">
        <f t="shared" ref="D23:G23" si="5">+D22/D10</f>
        <v>5.5317197580265216E-2</v>
      </c>
      <c r="E23" s="187">
        <v>5.5002884355022895E-2</v>
      </c>
      <c r="F23" s="187">
        <v>5.2918905160861736E-2</v>
      </c>
      <c r="G23" s="187">
        <f t="shared" si="5"/>
        <v>5.1494163690510152E-2</v>
      </c>
      <c r="H23" s="161"/>
      <c r="I23" s="171"/>
      <c r="J23" s="245">
        <f>+(G23-F23)*10000</f>
        <v>-14.247414703515842</v>
      </c>
      <c r="K23" s="166" t="s">
        <v>89</v>
      </c>
      <c r="L23" s="171"/>
      <c r="M23" s="245">
        <f>+(G23-D23)*10000</f>
        <v>-38.230338897550645</v>
      </c>
      <c r="N23" s="166" t="s">
        <v>89</v>
      </c>
      <c r="O23" s="171"/>
      <c r="P23" s="245">
        <f>+(G23-E23)*10000</f>
        <v>-35.087206645127431</v>
      </c>
      <c r="Q23" s="166" t="s">
        <v>89</v>
      </c>
    </row>
    <row r="24" spans="1:23" s="6" customFormat="1" ht="3.75" customHeight="1">
      <c r="A24" s="117"/>
      <c r="B24" s="219"/>
      <c r="C24" s="190"/>
      <c r="D24" s="189" t="s">
        <v>0</v>
      </c>
      <c r="E24" s="189" t="s">
        <v>0</v>
      </c>
      <c r="F24" s="189" t="s">
        <v>0</v>
      </c>
      <c r="G24" s="189" t="s">
        <v>0</v>
      </c>
      <c r="H24" s="166"/>
      <c r="I24" s="188" t="s">
        <v>0</v>
      </c>
      <c r="J24" s="188" t="s">
        <v>0</v>
      </c>
      <c r="K24" s="166"/>
      <c r="L24" s="188" t="s">
        <v>0</v>
      </c>
      <c r="M24" s="188" t="s">
        <v>0</v>
      </c>
      <c r="N24" s="170"/>
      <c r="O24" s="188" t="s">
        <v>0</v>
      </c>
      <c r="P24" s="188" t="s">
        <v>0</v>
      </c>
      <c r="Q24" s="166"/>
    </row>
    <row r="25" spans="1:23" ht="15">
      <c r="B25" s="220" t="s">
        <v>8</v>
      </c>
      <c r="C25" s="175"/>
      <c r="D25" s="246">
        <f t="shared" ref="D25" si="6">D18+D22+D20</f>
        <v>62224</v>
      </c>
      <c r="E25" s="246">
        <v>64854</v>
      </c>
      <c r="F25" s="246">
        <v>64828.52</v>
      </c>
      <c r="G25" s="246">
        <f t="shared" ref="G25" si="7">G18+G22+G20</f>
        <v>68914</v>
      </c>
      <c r="H25" s="166"/>
      <c r="I25" s="171">
        <f>+G25/F25-1</f>
        <v>6.3019794374451266E-2</v>
      </c>
      <c r="J25" s="245">
        <f>+G25-F25</f>
        <v>4085.4800000000032</v>
      </c>
      <c r="K25" s="166"/>
      <c r="L25" s="171">
        <f>+G25/D25-1</f>
        <v>0.10751478529184877</v>
      </c>
      <c r="M25" s="299">
        <f>+G25-D25</f>
        <v>6690</v>
      </c>
      <c r="N25" s="166"/>
      <c r="O25" s="171">
        <f>+G25/E25-1</f>
        <v>6.2602152527214905E-2</v>
      </c>
      <c r="P25" s="299">
        <f>+G25-E25</f>
        <v>4060</v>
      </c>
      <c r="Q25" s="166"/>
      <c r="R25" s="1"/>
      <c r="S25" s="1"/>
      <c r="T25" s="1"/>
    </row>
    <row r="26" spans="1:23">
      <c r="B26" s="186" t="s">
        <v>7</v>
      </c>
      <c r="C26" s="175"/>
      <c r="D26" s="191">
        <f t="shared" ref="D26:G26" si="8">D25/D$10</f>
        <v>0.3908763686389306</v>
      </c>
      <c r="E26" s="191">
        <v>0.38175910337763858</v>
      </c>
      <c r="F26" s="191">
        <v>0.37464337057929004</v>
      </c>
      <c r="G26" s="191">
        <f t="shared" si="8"/>
        <v>0.39316073527230405</v>
      </c>
      <c r="H26" s="161"/>
      <c r="I26" s="171"/>
      <c r="J26" s="245">
        <f>+(G26-F26)*10000</f>
        <v>185.17364693014017</v>
      </c>
      <c r="K26" s="166" t="s">
        <v>89</v>
      </c>
      <c r="L26" s="171"/>
      <c r="M26" s="245">
        <f>+(G26-D26)*10000</f>
        <v>22.843666333734468</v>
      </c>
      <c r="N26" s="166" t="s">
        <v>89</v>
      </c>
      <c r="O26" s="171"/>
      <c r="P26" s="245">
        <f>+(G26-E26)*10000</f>
        <v>114.01631894665476</v>
      </c>
      <c r="Q26" s="166" t="s">
        <v>89</v>
      </c>
    </row>
    <row r="27" spans="1:23" ht="3" customHeight="1">
      <c r="A27" s="118"/>
      <c r="B27" s="186"/>
      <c r="C27" s="190"/>
      <c r="D27" s="189" t="s">
        <v>0</v>
      </c>
      <c r="E27" s="189" t="s">
        <v>0</v>
      </c>
      <c r="F27" s="189" t="s">
        <v>0</v>
      </c>
      <c r="G27" s="189" t="s">
        <v>0</v>
      </c>
      <c r="H27" s="166"/>
      <c r="I27" s="188" t="s">
        <v>0</v>
      </c>
      <c r="J27" s="188" t="s">
        <v>0</v>
      </c>
      <c r="K27" s="166"/>
      <c r="L27" s="188" t="s">
        <v>0</v>
      </c>
      <c r="M27" s="188" t="s">
        <v>0</v>
      </c>
      <c r="N27" s="166"/>
      <c r="O27" s="188" t="s">
        <v>0</v>
      </c>
      <c r="P27" s="188" t="s">
        <v>0</v>
      </c>
      <c r="Q27" s="166"/>
    </row>
    <row r="28" spans="1:23" ht="15">
      <c r="A28" s="118"/>
      <c r="B28" s="220" t="s">
        <v>2</v>
      </c>
      <c r="C28" s="175"/>
      <c r="D28" s="246">
        <f t="shared" ref="D28" si="9">D14-D25</f>
        <v>70731</v>
      </c>
      <c r="E28" s="246">
        <v>80041</v>
      </c>
      <c r="F28" s="246">
        <v>81390.801364999992</v>
      </c>
      <c r="G28" s="246">
        <f t="shared" ref="G28" si="10">G14-G25</f>
        <v>80127</v>
      </c>
      <c r="H28" s="166"/>
      <c r="I28" s="171">
        <f>+G28/F28-1</f>
        <v>-1.5527569993228463E-2</v>
      </c>
      <c r="J28" s="245">
        <f>+G28-F28</f>
        <v>-1263.8013649999921</v>
      </c>
      <c r="K28" s="166"/>
      <c r="L28" s="171">
        <f>+G28/D28-1</f>
        <v>0.13284132841328411</v>
      </c>
      <c r="M28" s="299">
        <f>+G28-D28</f>
        <v>9396</v>
      </c>
      <c r="N28" s="166"/>
      <c r="O28" s="171">
        <f>+G28/E28-1</f>
        <v>1.0744493447107928E-3</v>
      </c>
      <c r="P28" s="299">
        <f>+G28-E28</f>
        <v>86</v>
      </c>
      <c r="Q28" s="166"/>
      <c r="R28" s="1"/>
      <c r="S28" s="1"/>
      <c r="T28" s="1"/>
    </row>
    <row r="29" spans="1:23">
      <c r="B29" s="186" t="s">
        <v>9</v>
      </c>
      <c r="C29" s="175"/>
      <c r="D29" s="191">
        <f t="shared" ref="D29:G29" si="11">D28/D$10</f>
        <v>0.44431531933337942</v>
      </c>
      <c r="E29" s="191">
        <v>0.4711564497710175</v>
      </c>
      <c r="F29" s="191">
        <v>0.47035662942070988</v>
      </c>
      <c r="G29" s="191">
        <f t="shared" si="11"/>
        <v>0.45713193596604329</v>
      </c>
      <c r="H29" s="166"/>
      <c r="I29" s="171">
        <f>+G29/F29-1</f>
        <v>-2.8116311384733916E-2</v>
      </c>
      <c r="J29" s="245">
        <f>+(G29-F29)*10000</f>
        <v>-132.24693454666593</v>
      </c>
      <c r="K29" s="166" t="s">
        <v>89</v>
      </c>
      <c r="L29" s="171">
        <f>+G29/D29-1</f>
        <v>2.8845768027744523E-2</v>
      </c>
      <c r="M29" s="245">
        <f>+(G29-D29)*10000</f>
        <v>128.16616632663869</v>
      </c>
      <c r="N29" s="166" t="s">
        <v>89</v>
      </c>
      <c r="O29" s="171">
        <f>+G29/E29-1</f>
        <v>-2.9766150525563528E-2</v>
      </c>
      <c r="P29" s="245">
        <f>+(G29-E29)*10000</f>
        <v>-140.24513804974214</v>
      </c>
      <c r="Q29" s="166" t="s">
        <v>89</v>
      </c>
    </row>
    <row r="30" spans="1:23" ht="4.5" hidden="1" customHeight="1">
      <c r="B30" s="186"/>
      <c r="C30" s="175"/>
      <c r="D30" s="191"/>
      <c r="E30" s="191"/>
      <c r="F30" s="191"/>
      <c r="G30" s="191"/>
      <c r="H30" s="166"/>
      <c r="I30" s="171"/>
      <c r="J30" s="245"/>
      <c r="K30" s="166"/>
      <c r="L30" s="171"/>
      <c r="M30" s="245"/>
      <c r="N30" s="166"/>
      <c r="O30" s="171"/>
      <c r="P30" s="245"/>
      <c r="Q30" s="166"/>
    </row>
    <row r="31" spans="1:23" ht="5.25" customHeight="1">
      <c r="B31" s="186"/>
      <c r="C31" s="175"/>
      <c r="D31" s="189"/>
      <c r="E31" s="189"/>
      <c r="F31" s="189"/>
      <c r="G31" s="189"/>
      <c r="H31" s="166"/>
      <c r="I31" s="171"/>
      <c r="J31" s="245"/>
      <c r="K31" s="166"/>
      <c r="L31" s="171"/>
      <c r="M31" s="299"/>
      <c r="N31" s="166"/>
      <c r="O31" s="171"/>
      <c r="P31" s="299"/>
      <c r="Q31" s="166"/>
      <c r="R31" s="1"/>
      <c r="S31" s="1"/>
      <c r="T31" s="1"/>
    </row>
    <row r="32" spans="1:23" ht="15" hidden="1" outlineLevel="1">
      <c r="B32" s="186" t="s">
        <v>187</v>
      </c>
      <c r="C32" s="175"/>
      <c r="D32" s="189">
        <f>+IS!BO45</f>
        <v>0</v>
      </c>
      <c r="E32" s="189">
        <v>0</v>
      </c>
      <c r="F32" s="189">
        <v>0</v>
      </c>
      <c r="G32" s="189">
        <f>+IS!BT45</f>
        <v>0</v>
      </c>
      <c r="H32" s="166"/>
      <c r="I32" s="171"/>
      <c r="J32" s="245"/>
      <c r="K32" s="166"/>
      <c r="L32" s="171"/>
      <c r="M32" s="299"/>
      <c r="N32" s="166"/>
      <c r="O32" s="171"/>
      <c r="P32" s="299"/>
      <c r="Q32" s="166"/>
      <c r="R32" s="1"/>
      <c r="S32" s="1"/>
      <c r="T32" s="1"/>
    </row>
    <row r="33" spans="1:17" s="1" customFormat="1" ht="15" hidden="1" outlineLevel="1">
      <c r="A33" s="116"/>
      <c r="B33" s="186" t="s">
        <v>215</v>
      </c>
      <c r="C33" s="175"/>
      <c r="D33" s="189">
        <f>+IS!BO46</f>
        <v>6194</v>
      </c>
      <c r="E33" s="189">
        <v>6264</v>
      </c>
      <c r="F33" s="189">
        <v>500</v>
      </c>
      <c r="G33" s="189">
        <f>+IS!BT46</f>
        <v>6345</v>
      </c>
      <c r="H33" s="166"/>
      <c r="I33" s="171">
        <f>+G33/F33-1</f>
        <v>11.69</v>
      </c>
      <c r="J33" s="245">
        <f>+G33-F33</f>
        <v>5845</v>
      </c>
      <c r="K33" s="166"/>
      <c r="L33" s="171">
        <f>+G33/D33-1</f>
        <v>2.437843073942525E-2</v>
      </c>
      <c r="M33" s="299">
        <f>+G33-D33</f>
        <v>151</v>
      </c>
      <c r="N33" s="166"/>
      <c r="O33" s="171">
        <f>+G33/E33-1</f>
        <v>1.2931034482758674E-2</v>
      </c>
      <c r="P33" s="299">
        <f>+G33-E33</f>
        <v>81</v>
      </c>
      <c r="Q33" s="166"/>
    </row>
    <row r="34" spans="1:17" s="1" customFormat="1" ht="15" hidden="1" outlineLevel="1">
      <c r="A34" s="116"/>
      <c r="B34" s="186" t="s">
        <v>216</v>
      </c>
      <c r="C34" s="175"/>
      <c r="D34" s="189">
        <f>+IS!BO47</f>
        <v>-1777</v>
      </c>
      <c r="E34" s="189">
        <v>-937</v>
      </c>
      <c r="F34" s="189">
        <v>0</v>
      </c>
      <c r="G34" s="189">
        <f>+IS!BT47</f>
        <v>-754</v>
      </c>
      <c r="H34" s="166"/>
      <c r="I34" s="232" t="s">
        <v>434</v>
      </c>
      <c r="J34" s="245">
        <f>+G34-F34</f>
        <v>-754</v>
      </c>
      <c r="K34" s="166"/>
      <c r="L34" s="171">
        <f>+G34/D34-1</f>
        <v>-0.57568936409679239</v>
      </c>
      <c r="M34" s="299">
        <f>+G34-D34</f>
        <v>1023</v>
      </c>
      <c r="N34" s="166"/>
      <c r="O34" s="171">
        <f>+G34/E34-1</f>
        <v>-0.19530416221985059</v>
      </c>
      <c r="P34" s="299">
        <f>+G34-E34</f>
        <v>183</v>
      </c>
      <c r="Q34" s="166"/>
    </row>
    <row r="35" spans="1:17" collapsed="1">
      <c r="B35" s="186" t="s">
        <v>437</v>
      </c>
      <c r="C35" s="175"/>
      <c r="D35" s="189">
        <f>SUM(IS!BO45:BO47)</f>
        <v>4417</v>
      </c>
      <c r="E35" s="189">
        <v>5327</v>
      </c>
      <c r="F35" s="189">
        <v>500</v>
      </c>
      <c r="G35" s="189">
        <f>SUM(IS!BT45:BT47)</f>
        <v>5591</v>
      </c>
      <c r="H35" s="166"/>
      <c r="I35" s="171">
        <f>+G35/F35-1</f>
        <v>10.182</v>
      </c>
      <c r="J35" s="245">
        <f>+G35-F35</f>
        <v>5091</v>
      </c>
      <c r="K35" s="166"/>
      <c r="L35" s="171">
        <f>+G35/D35-1</f>
        <v>0.26579126103690287</v>
      </c>
      <c r="M35" s="299">
        <f>+G35-D35</f>
        <v>1174</v>
      </c>
      <c r="N35" s="166"/>
      <c r="O35" s="171">
        <f>+G35/E35-1</f>
        <v>4.9558851135723669E-2</v>
      </c>
      <c r="P35" s="299">
        <f>+G35-E35</f>
        <v>264</v>
      </c>
      <c r="Q35" s="166"/>
    </row>
    <row r="36" spans="1:17" ht="3" customHeight="1">
      <c r="B36" s="206"/>
      <c r="C36" s="175"/>
      <c r="D36" s="189" t="s">
        <v>0</v>
      </c>
      <c r="E36" s="189" t="s">
        <v>0</v>
      </c>
      <c r="F36" s="189" t="s">
        <v>0</v>
      </c>
      <c r="G36" s="189" t="s">
        <v>0</v>
      </c>
      <c r="H36" s="166"/>
      <c r="I36" s="188" t="s">
        <v>0</v>
      </c>
      <c r="J36" s="188" t="s">
        <v>0</v>
      </c>
      <c r="K36" s="166"/>
      <c r="L36" s="188" t="s">
        <v>0</v>
      </c>
      <c r="M36" s="188" t="s">
        <v>0</v>
      </c>
      <c r="N36" s="166"/>
      <c r="O36" s="188" t="s">
        <v>0</v>
      </c>
      <c r="P36" s="188" t="s">
        <v>0</v>
      </c>
      <c r="Q36" s="166"/>
    </row>
    <row r="37" spans="1:17" s="1" customFormat="1" ht="15">
      <c r="A37" s="116"/>
      <c r="B37" s="206" t="s">
        <v>10</v>
      </c>
      <c r="C37" s="175"/>
      <c r="D37" s="216">
        <f t="shared" ref="D37" si="12">+D34+D28+D33+D32</f>
        <v>75148</v>
      </c>
      <c r="E37" s="216">
        <v>85368</v>
      </c>
      <c r="F37" s="216">
        <v>81890.801364999992</v>
      </c>
      <c r="G37" s="216">
        <f t="shared" ref="G37" si="13">+G34+G28+G33+G32</f>
        <v>85718</v>
      </c>
      <c r="H37" s="166"/>
      <c r="I37" s="171">
        <f>+G37/F37-1</f>
        <v>4.673539116977965E-2</v>
      </c>
      <c r="J37" s="299">
        <f>+G37-F37</f>
        <v>3827.1986350000079</v>
      </c>
      <c r="K37" s="166"/>
      <c r="L37" s="171">
        <f>+G37/D37-1</f>
        <v>0.14065577260871875</v>
      </c>
      <c r="M37" s="299">
        <f>+G37-D37</f>
        <v>10570</v>
      </c>
      <c r="N37" s="166"/>
      <c r="O37" s="171">
        <f>+G37/E37-1</f>
        <v>4.0998969168775101E-3</v>
      </c>
      <c r="P37" s="299">
        <f>+G37-E37</f>
        <v>350</v>
      </c>
      <c r="Q37" s="166"/>
    </row>
    <row r="38" spans="1:17" s="1" customFormat="1" ht="15">
      <c r="A38" s="116"/>
      <c r="B38" s="186" t="s">
        <v>11</v>
      </c>
      <c r="C38" s="166"/>
      <c r="D38" s="191">
        <f t="shared" ref="D38:G38" si="14">+D37/D10</f>
        <v>0.4720618627937509</v>
      </c>
      <c r="E38" s="191">
        <v>0.50251350937709705</v>
      </c>
      <c r="F38" s="191">
        <v>0.47324612443447306</v>
      </c>
      <c r="G38" s="191">
        <f t="shared" si="14"/>
        <v>0.4890291073812485</v>
      </c>
      <c r="H38" s="161"/>
      <c r="I38" s="171">
        <f>+G38/F38-1</f>
        <v>3.3350474799209495E-2</v>
      </c>
      <c r="J38" s="245">
        <f>+(G38-F38)*10000</f>
        <v>157.82982946775437</v>
      </c>
      <c r="K38" s="166" t="s">
        <v>89</v>
      </c>
      <c r="L38" s="171">
        <f>+G38/D38-1</f>
        <v>3.594284123500735E-2</v>
      </c>
      <c r="M38" s="245">
        <f>+(G38-D38)*10000</f>
        <v>169.67244587497598</v>
      </c>
      <c r="N38" s="166" t="s">
        <v>89</v>
      </c>
      <c r="O38" s="171">
        <f>+G38/E38-1</f>
        <v>-2.6833909425765468E-2</v>
      </c>
      <c r="P38" s="245">
        <f>+(G38-E38)*10000</f>
        <v>-134.84401995848549</v>
      </c>
      <c r="Q38" s="166" t="s">
        <v>89</v>
      </c>
    </row>
    <row r="39" spans="1:17" s="1" customFormat="1" ht="13.5" hidden="1" customHeight="1" outlineLevel="1">
      <c r="A39" s="116"/>
      <c r="B39" s="186"/>
      <c r="C39" s="166"/>
      <c r="D39" s="191"/>
      <c r="E39" s="191"/>
      <c r="F39" s="191"/>
      <c r="G39" s="191"/>
      <c r="H39" s="161"/>
      <c r="I39" s="171"/>
      <c r="J39" s="245"/>
      <c r="K39" s="166"/>
      <c r="L39" s="171"/>
      <c r="M39" s="245"/>
      <c r="N39" s="166"/>
      <c r="O39" s="171"/>
      <c r="P39" s="245"/>
      <c r="Q39" s="166"/>
    </row>
    <row r="40" spans="1:17" s="6" customFormat="1" ht="4.5" customHeight="1" collapsed="1">
      <c r="A40" s="117"/>
      <c r="B40" s="214"/>
      <c r="C40" s="170"/>
      <c r="D40" s="216"/>
      <c r="E40" s="216"/>
      <c r="F40" s="216"/>
      <c r="G40" s="216"/>
      <c r="H40" s="170"/>
      <c r="I40" s="180"/>
      <c r="J40" s="300"/>
      <c r="K40" s="170"/>
      <c r="L40" s="180"/>
      <c r="M40" s="246"/>
      <c r="N40" s="170"/>
      <c r="O40" s="180"/>
      <c r="P40" s="246"/>
      <c r="Q40" s="170"/>
    </row>
    <row r="41" spans="1:17" s="1" customFormat="1" ht="15">
      <c r="A41" s="116"/>
      <c r="B41" s="206" t="s">
        <v>12</v>
      </c>
      <c r="C41" s="166"/>
      <c r="D41" s="189">
        <f>+IS!BO53</f>
        <v>15781</v>
      </c>
      <c r="E41" s="189">
        <v>17927</v>
      </c>
      <c r="F41" s="189">
        <v>17197.068286649999</v>
      </c>
      <c r="G41" s="189">
        <f>+IS!BT53</f>
        <v>18003</v>
      </c>
      <c r="H41" s="166"/>
      <c r="I41" s="171">
        <f>+G41/F41-1</f>
        <v>4.6864482940713881E-2</v>
      </c>
      <c r="J41" s="299">
        <f>+G41-F41</f>
        <v>805.93171335000079</v>
      </c>
      <c r="K41" s="166"/>
      <c r="L41" s="171">
        <f>+G41/D41-1</f>
        <v>0.14080223053038465</v>
      </c>
      <c r="M41" s="299">
        <f>+G41-D41</f>
        <v>2222</v>
      </c>
      <c r="N41" s="166"/>
      <c r="O41" s="171">
        <f>+G41/E41-1</f>
        <v>4.239415406928071E-3</v>
      </c>
      <c r="P41" s="299">
        <f>+G41-E41</f>
        <v>76</v>
      </c>
      <c r="Q41" s="166"/>
    </row>
    <row r="42" spans="1:17" s="6" customFormat="1" ht="15">
      <c r="A42" s="117"/>
      <c r="B42" s="186" t="s">
        <v>13</v>
      </c>
      <c r="C42" s="170"/>
      <c r="D42" s="187">
        <f t="shared" ref="D42" si="15">+D41/D37</f>
        <v>0.20999893543407674</v>
      </c>
      <c r="E42" s="187">
        <v>0.2099967200824665</v>
      </c>
      <c r="F42" s="187">
        <v>0.21000000000000002</v>
      </c>
      <c r="G42" s="187">
        <f t="shared" ref="G42" si="16">+G41/G37</f>
        <v>0.21002589887771531</v>
      </c>
      <c r="H42" s="166"/>
      <c r="I42" s="171">
        <f>+G42/F42-1</f>
        <v>1.233279891204031E-4</v>
      </c>
      <c r="J42" s="245">
        <f>+(G42-F42)*10000</f>
        <v>0.25898877715285762</v>
      </c>
      <c r="K42" s="166" t="s">
        <v>89</v>
      </c>
      <c r="L42" s="171">
        <f>+G42/D42-1</f>
        <v>1.2839800155561854E-4</v>
      </c>
      <c r="M42" s="245">
        <f>+(G42-D42)*10000</f>
        <v>0.26963443638561291</v>
      </c>
      <c r="N42" s="166" t="s">
        <v>89</v>
      </c>
      <c r="O42" s="171">
        <f>+G42/E42-1</f>
        <v>1.3894881423559546E-4</v>
      </c>
      <c r="P42" s="245">
        <f>+(G42-E42)*10000</f>
        <v>0.2917879524880207</v>
      </c>
      <c r="Q42" s="166" t="s">
        <v>89</v>
      </c>
    </row>
    <row r="43" spans="1:17" ht="3" customHeight="1">
      <c r="B43" s="206"/>
      <c r="C43" s="175"/>
      <c r="D43" s="189" t="s">
        <v>0</v>
      </c>
      <c r="E43" s="189" t="s">
        <v>0</v>
      </c>
      <c r="F43" s="189" t="s">
        <v>0</v>
      </c>
      <c r="G43" s="189" t="s">
        <v>0</v>
      </c>
      <c r="H43" s="166"/>
      <c r="I43" s="188" t="s">
        <v>0</v>
      </c>
      <c r="J43" s="188" t="s">
        <v>0</v>
      </c>
      <c r="K43" s="166"/>
      <c r="L43" s="188" t="s">
        <v>0</v>
      </c>
      <c r="M43" s="188" t="s">
        <v>0</v>
      </c>
      <c r="N43" s="166"/>
      <c r="O43" s="188" t="s">
        <v>0</v>
      </c>
      <c r="P43" s="188" t="s">
        <v>0</v>
      </c>
      <c r="Q43" s="166"/>
    </row>
    <row r="44" spans="1:17" s="4" customFormat="1" ht="13.15">
      <c r="A44" s="119"/>
      <c r="B44" s="212" t="s">
        <v>140</v>
      </c>
      <c r="C44" s="193"/>
      <c r="D44" s="237">
        <f t="shared" ref="D44" si="17">+D37-D41</f>
        <v>59367</v>
      </c>
      <c r="E44" s="237">
        <v>67441</v>
      </c>
      <c r="F44" s="237">
        <v>64693.733078349993</v>
      </c>
      <c r="G44" s="237">
        <f t="shared" ref="G44" si="18">+G37-G41</f>
        <v>67715</v>
      </c>
      <c r="H44" s="166"/>
      <c r="I44" s="171">
        <f>+G44/F44-1</f>
        <v>4.6701075635734002E-2</v>
      </c>
      <c r="J44" s="301">
        <f t="shared" ref="J44" si="19">+J37-J41</f>
        <v>3021.2669216500071</v>
      </c>
      <c r="K44" s="166"/>
      <c r="L44" s="171">
        <f>+G44/D44-1</f>
        <v>0.14061684100594607</v>
      </c>
      <c r="M44" s="301">
        <f>+G44-D44</f>
        <v>8348</v>
      </c>
      <c r="N44" s="166"/>
      <c r="O44" s="171">
        <f>+G44/E44-1</f>
        <v>4.0628104565472167E-3</v>
      </c>
      <c r="P44" s="301">
        <f>+G44-E44</f>
        <v>274</v>
      </c>
      <c r="Q44" s="166"/>
    </row>
    <row r="45" spans="1:17" s="4" customFormat="1" ht="3.75" hidden="1" customHeight="1">
      <c r="A45" s="119"/>
      <c r="B45" s="212"/>
      <c r="C45" s="193"/>
      <c r="D45" s="237"/>
      <c r="E45" s="237"/>
      <c r="F45" s="237"/>
      <c r="G45" s="237"/>
      <c r="H45" s="166"/>
      <c r="I45" s="171"/>
      <c r="J45" s="299"/>
      <c r="K45" s="166"/>
      <c r="L45" s="171"/>
      <c r="M45" s="299"/>
      <c r="N45" s="166"/>
      <c r="O45" s="171"/>
      <c r="P45" s="299"/>
      <c r="Q45" s="166"/>
    </row>
    <row r="46" spans="1:17" s="4" customFormat="1" ht="4.5" customHeight="1">
      <c r="A46" s="119"/>
      <c r="B46" s="212"/>
      <c r="C46" s="166"/>
      <c r="D46" s="224"/>
      <c r="E46" s="224"/>
      <c r="F46" s="224"/>
      <c r="G46" s="224"/>
      <c r="H46" s="166"/>
      <c r="I46" s="188"/>
      <c r="J46" s="188"/>
      <c r="K46" s="166"/>
      <c r="L46" s="188"/>
      <c r="M46" s="188"/>
      <c r="N46" s="166"/>
      <c r="O46" s="188"/>
      <c r="P46" s="188"/>
      <c r="Q46" s="166"/>
    </row>
    <row r="47" spans="1:17">
      <c r="B47" s="212" t="s">
        <v>141</v>
      </c>
      <c r="C47" s="175"/>
      <c r="D47" s="195">
        <f>+IS!BO59</f>
        <v>1.6045135135135136</v>
      </c>
      <c r="E47" s="195">
        <v>1.85823712561651</v>
      </c>
      <c r="F47" s="195">
        <v>1.7960103214899219</v>
      </c>
      <c r="G47" s="195">
        <f>+IS!BT59</f>
        <v>1.8736856668511346</v>
      </c>
      <c r="H47" s="166"/>
      <c r="I47" s="171">
        <f>+G47/F47-1</f>
        <v>4.3248830160828478E-2</v>
      </c>
      <c r="J47" s="224">
        <f>+G47-F47</f>
        <v>7.7675345361212678E-2</v>
      </c>
      <c r="K47" s="166"/>
      <c r="L47" s="171">
        <f>+G47/D47-1</f>
        <v>0.16775935576148338</v>
      </c>
      <c r="M47" s="224">
        <f>+G47-D47</f>
        <v>0.26917215333762101</v>
      </c>
      <c r="N47" s="166"/>
      <c r="O47" s="171">
        <f>+G47/E47-1</f>
        <v>8.3135467598083324E-3</v>
      </c>
      <c r="P47" s="224">
        <f>+G47-E47</f>
        <v>1.544854123462458E-2</v>
      </c>
      <c r="Q47" s="166"/>
    </row>
    <row r="48" spans="1:17" s="5" customFormat="1" ht="13.15">
      <c r="A48" s="120"/>
      <c r="B48" s="218" t="s">
        <v>502</v>
      </c>
      <c r="C48" s="459" t="s">
        <v>552</v>
      </c>
      <c r="D48" s="225"/>
      <c r="E48" s="225"/>
      <c r="F48" s="195">
        <v>1.78</v>
      </c>
      <c r="G48" s="225"/>
      <c r="H48" s="170"/>
      <c r="I48" s="171">
        <f>+G47/F48-1</f>
        <v>5.2632397107378992E-2</v>
      </c>
      <c r="J48" s="731">
        <f>+G47-F48</f>
        <v>9.3685666851134553E-2</v>
      </c>
      <c r="K48" s="170"/>
      <c r="L48" s="194"/>
      <c r="M48" s="194"/>
      <c r="N48" s="170"/>
      <c r="O48" s="194"/>
      <c r="P48" s="194"/>
      <c r="Q48" s="170"/>
    </row>
    <row r="49" spans="1:22" s="5" customFormat="1" ht="6.75" customHeight="1">
      <c r="A49" s="120"/>
      <c r="B49" s="212"/>
      <c r="C49" s="194"/>
      <c r="D49" s="225"/>
      <c r="E49" s="225"/>
      <c r="F49" s="225"/>
      <c r="G49" s="225"/>
      <c r="H49" s="170"/>
      <c r="I49" s="171"/>
      <c r="J49" s="224"/>
      <c r="K49" s="170"/>
      <c r="L49" s="194"/>
      <c r="M49" s="194"/>
      <c r="N49" s="170"/>
      <c r="O49" s="194"/>
      <c r="P49" s="194"/>
      <c r="Q49" s="170"/>
    </row>
    <row r="50" spans="1:22" ht="15" hidden="1" outlineLevel="1">
      <c r="B50" s="206" t="s">
        <v>14</v>
      </c>
      <c r="C50" s="175"/>
      <c r="D50" s="216">
        <f>+IS!BK62</f>
        <v>37575</v>
      </c>
      <c r="E50" s="216">
        <v>37136</v>
      </c>
      <c r="F50" s="216">
        <v>37136</v>
      </c>
      <c r="G50" s="216">
        <f>+IS!BN62</f>
        <v>37136</v>
      </c>
      <c r="H50" s="166"/>
      <c r="I50" s="171">
        <f>+G50/F50-1</f>
        <v>0</v>
      </c>
      <c r="J50" s="299">
        <f>+G50-F50</f>
        <v>0</v>
      </c>
      <c r="K50" s="166"/>
      <c r="L50" s="171">
        <f>+G50/D50-1</f>
        <v>-1.168330006653362E-2</v>
      </c>
      <c r="M50" s="299">
        <f>+G50-D50</f>
        <v>-439</v>
      </c>
      <c r="N50" s="166"/>
      <c r="O50" s="171">
        <f>+G50/E50-1</f>
        <v>0</v>
      </c>
      <c r="P50" s="299">
        <f>+G50-E50</f>
        <v>0</v>
      </c>
      <c r="Q50" s="166"/>
      <c r="R50" s="1"/>
      <c r="S50" s="1"/>
      <c r="T50" s="1"/>
    </row>
    <row r="51" spans="1:22" collapsed="1">
      <c r="B51" s="166"/>
      <c r="C51" s="166"/>
      <c r="D51" s="166"/>
      <c r="E51" s="173"/>
      <c r="F51" s="262"/>
      <c r="G51" s="262"/>
      <c r="H51" s="166"/>
      <c r="I51" s="196"/>
      <c r="J51" s="196"/>
      <c r="K51" s="166"/>
      <c r="L51" s="196"/>
      <c r="M51" s="196"/>
      <c r="N51" s="166"/>
      <c r="O51" s="196"/>
      <c r="P51" s="196"/>
      <c r="Q51" s="166"/>
    </row>
    <row r="52" spans="1:22" ht="15.75" thickBot="1">
      <c r="B52" s="197" t="s">
        <v>487</v>
      </c>
      <c r="C52" s="198"/>
      <c r="D52" s="198"/>
      <c r="E52" s="199"/>
      <c r="F52" s="298"/>
      <c r="G52" s="298"/>
      <c r="H52" s="201"/>
      <c r="I52" s="200"/>
      <c r="J52" s="200"/>
      <c r="K52" s="201"/>
      <c r="L52" s="200"/>
      <c r="M52" s="200"/>
      <c r="N52" s="200"/>
      <c r="O52" s="200"/>
      <c r="P52" s="200"/>
      <c r="Q52" s="200"/>
    </row>
    <row r="53" spans="1:22">
      <c r="B53" s="632"/>
      <c r="C53" s="632"/>
      <c r="D53" s="632"/>
      <c r="E53" s="633"/>
      <c r="F53" s="633"/>
      <c r="G53" s="633"/>
      <c r="H53" s="632"/>
      <c r="I53" s="633"/>
      <c r="J53" s="633"/>
      <c r="K53" s="632"/>
      <c r="L53" s="633"/>
      <c r="M53" s="633"/>
      <c r="N53" s="634"/>
      <c r="O53" s="633"/>
      <c r="P53" s="633"/>
      <c r="Q53" s="634"/>
    </row>
    <row r="54" spans="1:22">
      <c r="E54" s="83"/>
      <c r="F54" s="83"/>
      <c r="G54" s="83"/>
      <c r="I54" s="83"/>
      <c r="J54" s="83"/>
      <c r="L54" s="83"/>
      <c r="M54" s="83"/>
      <c r="O54" s="83"/>
      <c r="P54" s="83"/>
    </row>
    <row r="55" spans="1:22">
      <c r="B55" s="1"/>
      <c r="V55" s="4"/>
    </row>
    <row r="56" spans="1:22">
      <c r="B56" s="4"/>
    </row>
    <row r="57" spans="1:22">
      <c r="B57" s="4"/>
      <c r="V57" s="4"/>
    </row>
    <row r="58" spans="1:22">
      <c r="V58" s="4"/>
    </row>
    <row r="59" spans="1:22">
      <c r="V59" s="4"/>
    </row>
    <row r="60" spans="1:22">
      <c r="V60" s="4"/>
    </row>
  </sheetData>
  <mergeCells count="3">
    <mergeCell ref="I5:J5"/>
    <mergeCell ref="O5:P5"/>
    <mergeCell ref="L5:M5"/>
  </mergeCells>
  <pageMargins left="0.5" right="0.5" top="0.5" bottom="0.5" header="0.5" footer="0.5"/>
  <pageSetup scale="82" orientation="landscape" verticalDpi="1200" r:id="rId1"/>
  <headerFooter alignWithMargins="0"/>
  <ignoredErrors>
    <ignoredError sqref="I11:J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theme="0" tint="-0.499984740745262"/>
  </sheetPr>
  <dimension ref="B2:CE134"/>
  <sheetViews>
    <sheetView showGridLines="0" view="pageBreakPreview" zoomScale="80" zoomScaleNormal="85" zoomScaleSheetLayoutView="80" workbookViewId="0">
      <pane xSplit="2" ySplit="5" topLeftCell="C6" activePane="bottomRight" state="frozen"/>
      <selection pane="topRight"/>
      <selection pane="bottomLeft"/>
      <selection pane="bottomRight" activeCell="B2" sqref="B2:CE57"/>
    </sheetView>
  </sheetViews>
  <sheetFormatPr defaultColWidth="12.3984375" defaultRowHeight="11.65" outlineLevelRow="1" outlineLevelCol="2"/>
  <cols>
    <col min="1" max="1" width="3.3984375" style="3" customWidth="1"/>
    <col min="2" max="2" width="38.3984375" style="3" customWidth="1"/>
    <col min="3" max="3" width="1.59765625" style="3" customWidth="1"/>
    <col min="4" max="6" width="7.3984375" style="3" hidden="1" customWidth="1" outlineLevel="2"/>
    <col min="7" max="7" width="9.3984375" style="3" hidden="1" customWidth="1" outlineLevel="2"/>
    <col min="8" max="8" width="9.3984375" style="3" hidden="1" customWidth="1" outlineLevel="1" collapsed="1"/>
    <col min="9" max="9" width="7.59765625" style="3" hidden="1" customWidth="1" outlineLevel="2"/>
    <col min="10" max="10" width="8.3984375" style="3" hidden="1" customWidth="1" outlineLevel="2"/>
    <col min="11" max="11" width="7.3984375" style="3" hidden="1" customWidth="1" outlineLevel="2"/>
    <col min="12" max="12" width="9.3984375" style="3" hidden="1" customWidth="1" outlineLevel="2"/>
    <col min="13" max="13" width="9.59765625" style="3" hidden="1" customWidth="1" outlineLevel="1" collapsed="1"/>
    <col min="14" max="17" width="9.3984375" style="3" hidden="1" customWidth="1" outlineLevel="2"/>
    <col min="18" max="18" width="9.59765625" style="3" hidden="1" customWidth="1" collapsed="1"/>
    <col min="19" max="22" width="9.3984375" style="3" hidden="1" customWidth="1" outlineLevel="1"/>
    <col min="23" max="23" width="9.59765625" style="3" hidden="1" customWidth="1" collapsed="1"/>
    <col min="24" max="27" width="9.3984375" style="3" hidden="1" customWidth="1" outlineLevel="1"/>
    <col min="28" max="28" width="9.59765625" style="3" hidden="1" customWidth="1" collapsed="1"/>
    <col min="29" max="30" width="9.3984375" style="3" hidden="1" customWidth="1" outlineLevel="1"/>
    <col min="31" max="31" width="9.59765625" style="3" hidden="1" customWidth="1" outlineLevel="1"/>
    <col min="32" max="32" width="9.3984375" style="3" hidden="1" customWidth="1" outlineLevel="1"/>
    <col min="33" max="33" width="9.59765625" style="3" hidden="1" customWidth="1" collapsed="1"/>
    <col min="34" max="37" width="9.3984375" style="3" hidden="1" customWidth="1" outlineLevel="1"/>
    <col min="38" max="38" width="10.3984375" style="3" hidden="1" customWidth="1" collapsed="1"/>
    <col min="39" max="42" width="9.3984375" style="3" hidden="1" customWidth="1" outlineLevel="1"/>
    <col min="43" max="43" width="10.3984375" style="3" hidden="1" customWidth="1" collapsed="1"/>
    <col min="44" max="47" width="10" style="3" hidden="1" customWidth="1" outlineLevel="1"/>
    <col min="48" max="48" width="10.3984375" style="3" hidden="1" customWidth="1" collapsed="1"/>
    <col min="49" max="49" width="10" style="3" hidden="1" customWidth="1" outlineLevel="1"/>
    <col min="50" max="50" width="9.59765625" style="3" hidden="1" customWidth="1" outlineLevel="1"/>
    <col min="51" max="52" width="10.3984375" style="3" hidden="1" customWidth="1" outlineLevel="1"/>
    <col min="53" max="53" width="10.3984375" style="3" hidden="1" customWidth="1" collapsed="1"/>
    <col min="54" max="54" width="10.59765625" style="3" hidden="1" customWidth="1" outlineLevel="1"/>
    <col min="55" max="57" width="10.3984375" style="3" hidden="1" customWidth="1" outlineLevel="1"/>
    <col min="58" max="58" width="10.59765625" style="3" hidden="1" customWidth="1" collapsed="1"/>
    <col min="59" max="59" width="10.59765625" style="3" hidden="1" customWidth="1" outlineLevel="1"/>
    <col min="60" max="62" width="10.3984375" style="3" hidden="1" customWidth="1" outlineLevel="1"/>
    <col min="63" max="63" width="10.59765625" style="3" hidden="1" customWidth="1" collapsed="1"/>
    <col min="64" max="67" width="12.3984375" style="3" hidden="1" customWidth="1" outlineLevel="1"/>
    <col min="68" max="68" width="12.3984375" style="3" customWidth="1" collapsed="1"/>
    <col min="69" max="72" width="12.3984375" style="3" customWidth="1" outlineLevel="1"/>
    <col min="73" max="73" width="12.3984375" style="3"/>
    <col min="74" max="77" width="12.3984375" style="3" customWidth="1" outlineLevel="1"/>
    <col min="78" max="78" width="12.3984375" style="3"/>
    <col min="79" max="82" width="12.3984375" style="3" hidden="1" customWidth="1" outlineLevel="1"/>
    <col min="83" max="83" width="12.3984375" style="3" collapsed="1"/>
    <col min="84" max="16384" width="12.3984375" style="3"/>
  </cols>
  <sheetData>
    <row r="2" spans="2:83" ht="13.35" customHeight="1" thickBot="1">
      <c r="B2" s="630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  <c r="R2" s="631"/>
      <c r="S2" s="631"/>
      <c r="T2" s="631"/>
      <c r="U2" s="631"/>
      <c r="V2" s="631"/>
      <c r="W2" s="631"/>
      <c r="X2" s="631"/>
      <c r="Y2" s="631"/>
      <c r="Z2" s="631"/>
      <c r="AA2" s="631"/>
      <c r="AB2" s="631"/>
      <c r="AC2" s="631"/>
      <c r="AD2" s="631"/>
      <c r="AE2" s="631"/>
      <c r="AF2" s="631"/>
      <c r="AG2" s="631"/>
      <c r="AH2" s="631"/>
      <c r="AI2" s="631"/>
      <c r="AJ2" s="631"/>
      <c r="AK2" s="631"/>
      <c r="AL2" s="631"/>
      <c r="AM2" s="631"/>
      <c r="AN2" s="631"/>
      <c r="AO2" s="631"/>
      <c r="AP2" s="631"/>
      <c r="AQ2" s="631"/>
      <c r="AR2" s="631"/>
      <c r="AS2" s="631"/>
      <c r="AT2" s="631"/>
      <c r="AU2" s="631"/>
      <c r="AV2" s="631"/>
      <c r="AW2" s="631"/>
      <c r="AX2" s="631"/>
      <c r="AY2" s="631"/>
      <c r="AZ2" s="631"/>
      <c r="BA2" s="631"/>
      <c r="BB2" s="631"/>
      <c r="BC2" s="631"/>
      <c r="BD2" s="631"/>
      <c r="BE2" s="631"/>
      <c r="BF2" s="631"/>
      <c r="BG2" s="631"/>
      <c r="BH2" s="631"/>
      <c r="BI2" s="631"/>
      <c r="BJ2" s="631"/>
      <c r="BK2" s="631"/>
      <c r="BL2" s="631"/>
      <c r="BM2" s="631"/>
      <c r="BN2" s="631"/>
      <c r="BO2" s="631"/>
      <c r="BP2" s="631"/>
      <c r="BQ2" s="631"/>
      <c r="BR2" s="631"/>
      <c r="BS2" s="631"/>
      <c r="BT2" s="631"/>
      <c r="BU2" s="631"/>
      <c r="BV2" s="631"/>
      <c r="BW2" s="631"/>
      <c r="BX2" s="631"/>
      <c r="BY2" s="631"/>
      <c r="BZ2" s="631"/>
      <c r="CA2" s="631"/>
      <c r="CB2" s="631"/>
      <c r="CC2" s="631"/>
      <c r="CD2" s="631"/>
      <c r="CE2" s="631"/>
    </row>
    <row r="3" spans="2:83" ht="18.75" customHeight="1">
      <c r="B3" s="165" t="s">
        <v>168</v>
      </c>
    </row>
    <row r="4" spans="2:83" ht="13.35" customHeight="1">
      <c r="B4" s="166" t="s">
        <v>292</v>
      </c>
      <c r="C4" s="166"/>
      <c r="D4" s="168" t="s">
        <v>156</v>
      </c>
      <c r="E4" s="168" t="s">
        <v>93</v>
      </c>
      <c r="F4" s="168" t="s">
        <v>90</v>
      </c>
      <c r="G4" s="168" t="s">
        <v>91</v>
      </c>
      <c r="H4" s="168" t="s">
        <v>91</v>
      </c>
      <c r="I4" s="168" t="s">
        <v>156</v>
      </c>
      <c r="J4" s="168" t="s">
        <v>93</v>
      </c>
      <c r="K4" s="168" t="s">
        <v>90</v>
      </c>
      <c r="L4" s="168" t="s">
        <v>91</v>
      </c>
      <c r="M4" s="168" t="s">
        <v>91</v>
      </c>
      <c r="N4" s="168" t="s">
        <v>156</v>
      </c>
      <c r="O4" s="168" t="s">
        <v>93</v>
      </c>
      <c r="P4" s="168" t="s">
        <v>90</v>
      </c>
      <c r="Q4" s="168" t="s">
        <v>91</v>
      </c>
      <c r="R4" s="594" t="s">
        <v>91</v>
      </c>
      <c r="S4" s="168" t="s">
        <v>156</v>
      </c>
      <c r="T4" s="168" t="s">
        <v>93</v>
      </c>
      <c r="U4" s="168" t="s">
        <v>90</v>
      </c>
      <c r="V4" s="168" t="s">
        <v>91</v>
      </c>
      <c r="W4" s="594" t="s">
        <v>91</v>
      </c>
      <c r="X4" s="168" t="s">
        <v>156</v>
      </c>
      <c r="Y4" s="168" t="s">
        <v>93</v>
      </c>
      <c r="Z4" s="168" t="s">
        <v>90</v>
      </c>
      <c r="AA4" s="168" t="s">
        <v>91</v>
      </c>
      <c r="AB4" s="594" t="s">
        <v>91</v>
      </c>
      <c r="AC4" s="168" t="s">
        <v>156</v>
      </c>
      <c r="AD4" s="168" t="s">
        <v>93</v>
      </c>
      <c r="AE4" s="168" t="s">
        <v>90</v>
      </c>
      <c r="AF4" s="168" t="s">
        <v>91</v>
      </c>
      <c r="AG4" s="594" t="s">
        <v>91</v>
      </c>
      <c r="AH4" s="168" t="s">
        <v>156</v>
      </c>
      <c r="AI4" s="168" t="s">
        <v>93</v>
      </c>
      <c r="AJ4" s="168" t="s">
        <v>90</v>
      </c>
      <c r="AK4" s="168" t="s">
        <v>91</v>
      </c>
      <c r="AL4" s="594" t="s">
        <v>91</v>
      </c>
      <c r="AM4" s="168" t="s">
        <v>156</v>
      </c>
      <c r="AN4" s="463" t="s">
        <v>93</v>
      </c>
      <c r="AO4" s="168" t="s">
        <v>90</v>
      </c>
      <c r="AP4" s="168" t="s">
        <v>91</v>
      </c>
      <c r="AQ4" s="594" t="s">
        <v>91</v>
      </c>
      <c r="AR4" s="168" t="s">
        <v>156</v>
      </c>
      <c r="AS4" s="463" t="s">
        <v>93</v>
      </c>
      <c r="AT4" s="463" t="s">
        <v>90</v>
      </c>
      <c r="AU4" s="168" t="s">
        <v>91</v>
      </c>
      <c r="AV4" s="594" t="s">
        <v>91</v>
      </c>
      <c r="AW4" s="168" t="s">
        <v>156</v>
      </c>
      <c r="AX4" s="168" t="s">
        <v>93</v>
      </c>
      <c r="AY4" s="168" t="s">
        <v>90</v>
      </c>
      <c r="AZ4" s="168" t="s">
        <v>91</v>
      </c>
      <c r="BA4" s="594" t="s">
        <v>91</v>
      </c>
      <c r="BB4" s="168" t="s">
        <v>156</v>
      </c>
      <c r="BC4" s="168" t="s">
        <v>93</v>
      </c>
      <c r="BD4" s="168" t="s">
        <v>90</v>
      </c>
      <c r="BE4" s="168" t="s">
        <v>91</v>
      </c>
      <c r="BF4" s="594" t="s">
        <v>91</v>
      </c>
      <c r="BG4" s="168" t="s">
        <v>156</v>
      </c>
      <c r="BH4" s="168" t="s">
        <v>93</v>
      </c>
      <c r="BI4" s="168" t="s">
        <v>90</v>
      </c>
      <c r="BJ4" s="168" t="s">
        <v>91</v>
      </c>
      <c r="BK4" s="594" t="s">
        <v>91</v>
      </c>
      <c r="BL4" s="168" t="s">
        <v>156</v>
      </c>
      <c r="BM4" s="168" t="s">
        <v>93</v>
      </c>
      <c r="BN4" s="168" t="s">
        <v>90</v>
      </c>
      <c r="BO4" s="168" t="s">
        <v>91</v>
      </c>
      <c r="BP4" s="594" t="s">
        <v>91</v>
      </c>
      <c r="BQ4" s="168" t="s">
        <v>156</v>
      </c>
      <c r="BR4" s="168" t="s">
        <v>93</v>
      </c>
      <c r="BS4" s="168" t="s">
        <v>90</v>
      </c>
      <c r="BT4" s="168" t="s">
        <v>91</v>
      </c>
      <c r="BU4" s="594" t="s">
        <v>91</v>
      </c>
      <c r="BV4" s="168" t="s">
        <v>156</v>
      </c>
      <c r="BW4" s="168" t="s">
        <v>93</v>
      </c>
      <c r="BX4" s="168" t="s">
        <v>90</v>
      </c>
      <c r="BY4" s="168" t="s">
        <v>91</v>
      </c>
      <c r="BZ4" s="594" t="s">
        <v>91</v>
      </c>
      <c r="CA4" s="168" t="s">
        <v>156</v>
      </c>
      <c r="CB4" s="168" t="s">
        <v>93</v>
      </c>
      <c r="CC4" s="168" t="s">
        <v>90</v>
      </c>
      <c r="CD4" s="168" t="s">
        <v>91</v>
      </c>
      <c r="CE4" s="594" t="s">
        <v>91</v>
      </c>
    </row>
    <row r="5" spans="2:83" ht="13.35" customHeight="1">
      <c r="B5" s="166"/>
      <c r="C5" s="166"/>
      <c r="D5" s="168" t="s">
        <v>180</v>
      </c>
      <c r="E5" s="168" t="s">
        <v>180</v>
      </c>
      <c r="F5" s="168" t="s">
        <v>180</v>
      </c>
      <c r="G5" s="168" t="s">
        <v>180</v>
      </c>
      <c r="H5" s="168" t="s">
        <v>180</v>
      </c>
      <c r="I5" s="168" t="s">
        <v>172</v>
      </c>
      <c r="J5" s="168" t="s">
        <v>172</v>
      </c>
      <c r="K5" s="168" t="s">
        <v>172</v>
      </c>
      <c r="L5" s="168" t="s">
        <v>172</v>
      </c>
      <c r="M5" s="168" t="s">
        <v>172</v>
      </c>
      <c r="N5" s="168" t="s">
        <v>94</v>
      </c>
      <c r="O5" s="168" t="s">
        <v>94</v>
      </c>
      <c r="P5" s="168" t="s">
        <v>94</v>
      </c>
      <c r="Q5" s="168" t="s">
        <v>94</v>
      </c>
      <c r="R5" s="594" t="s">
        <v>94</v>
      </c>
      <c r="S5" s="168" t="s">
        <v>95</v>
      </c>
      <c r="T5" s="168" t="s">
        <v>95</v>
      </c>
      <c r="U5" s="168" t="s">
        <v>95</v>
      </c>
      <c r="V5" s="168" t="s">
        <v>95</v>
      </c>
      <c r="W5" s="594" t="s">
        <v>95</v>
      </c>
      <c r="X5" s="168" t="s">
        <v>116</v>
      </c>
      <c r="Y5" s="168" t="s">
        <v>116</v>
      </c>
      <c r="Z5" s="168" t="s">
        <v>116</v>
      </c>
      <c r="AA5" s="168" t="s">
        <v>116</v>
      </c>
      <c r="AB5" s="594" t="s">
        <v>116</v>
      </c>
      <c r="AC5" s="168" t="s">
        <v>139</v>
      </c>
      <c r="AD5" s="168" t="s">
        <v>139</v>
      </c>
      <c r="AE5" s="168" t="s">
        <v>139</v>
      </c>
      <c r="AF5" s="168" t="s">
        <v>139</v>
      </c>
      <c r="AG5" s="594" t="s">
        <v>139</v>
      </c>
      <c r="AH5" s="168" t="s">
        <v>284</v>
      </c>
      <c r="AI5" s="168" t="s">
        <v>284</v>
      </c>
      <c r="AJ5" s="168" t="s">
        <v>284</v>
      </c>
      <c r="AK5" s="168" t="s">
        <v>284</v>
      </c>
      <c r="AL5" s="594" t="s">
        <v>284</v>
      </c>
      <c r="AM5" s="168" t="s">
        <v>368</v>
      </c>
      <c r="AN5" s="463" t="s">
        <v>368</v>
      </c>
      <c r="AO5" s="463" t="s">
        <v>368</v>
      </c>
      <c r="AP5" s="168" t="s">
        <v>368</v>
      </c>
      <c r="AQ5" s="594" t="str">
        <f>+AP5</f>
        <v>2019A</v>
      </c>
      <c r="AR5" s="463" t="s">
        <v>406</v>
      </c>
      <c r="AS5" s="463" t="s">
        <v>406</v>
      </c>
      <c r="AT5" s="463" t="s">
        <v>406</v>
      </c>
      <c r="AU5" s="168" t="s">
        <v>406</v>
      </c>
      <c r="AV5" s="594" t="str">
        <f>+AU5</f>
        <v>2020A</v>
      </c>
      <c r="AW5" s="168" t="s">
        <v>419</v>
      </c>
      <c r="AX5" s="168" t="s">
        <v>419</v>
      </c>
      <c r="AY5" s="168" t="s">
        <v>419</v>
      </c>
      <c r="AZ5" s="168" t="s">
        <v>419</v>
      </c>
      <c r="BA5" s="594" t="str">
        <f>+AZ5</f>
        <v>2021A</v>
      </c>
      <c r="BB5" s="168" t="s">
        <v>428</v>
      </c>
      <c r="BC5" s="168" t="s">
        <v>428</v>
      </c>
      <c r="BD5" s="168" t="s">
        <v>428</v>
      </c>
      <c r="BE5" s="168" t="s">
        <v>428</v>
      </c>
      <c r="BF5" s="594" t="str">
        <f>+BE5</f>
        <v>2022A</v>
      </c>
      <c r="BG5" s="168" t="s">
        <v>442</v>
      </c>
      <c r="BH5" s="168" t="s">
        <v>442</v>
      </c>
      <c r="BI5" s="168" t="s">
        <v>442</v>
      </c>
      <c r="BJ5" s="168" t="s">
        <v>442</v>
      </c>
      <c r="BK5" s="594" t="str">
        <f>+BJ5</f>
        <v>2023A</v>
      </c>
      <c r="BL5" s="168" t="s">
        <v>473</v>
      </c>
      <c r="BM5" s="168" t="s">
        <v>473</v>
      </c>
      <c r="BN5" s="168" t="s">
        <v>473</v>
      </c>
      <c r="BO5" s="168" t="s">
        <v>473</v>
      </c>
      <c r="BP5" s="594" t="str">
        <f>+BO5</f>
        <v>2024A</v>
      </c>
      <c r="BQ5" s="168" t="s">
        <v>505</v>
      </c>
      <c r="BR5" s="168" t="s">
        <v>505</v>
      </c>
      <c r="BS5" s="168" t="s">
        <v>505</v>
      </c>
      <c r="BT5" s="168" t="s">
        <v>505</v>
      </c>
      <c r="BU5" s="594" t="str">
        <f>+BT5</f>
        <v>2025A</v>
      </c>
      <c r="BV5" s="168" t="s">
        <v>475</v>
      </c>
      <c r="BW5" s="168" t="s">
        <v>475</v>
      </c>
      <c r="BX5" s="168" t="s">
        <v>475</v>
      </c>
      <c r="BY5" s="168" t="s">
        <v>475</v>
      </c>
      <c r="BZ5" s="594" t="str">
        <f>+BY5</f>
        <v>2026E</v>
      </c>
      <c r="CA5" s="168" t="s">
        <v>518</v>
      </c>
      <c r="CB5" s="168" t="s">
        <v>518</v>
      </c>
      <c r="CC5" s="168" t="s">
        <v>518</v>
      </c>
      <c r="CD5" s="168" t="s">
        <v>518</v>
      </c>
      <c r="CE5" s="594" t="str">
        <f>+CD5</f>
        <v>2027E</v>
      </c>
    </row>
    <row r="6" spans="2:83" ht="13.35" customHeight="1">
      <c r="B6" s="170" t="s">
        <v>96</v>
      </c>
      <c r="C6" s="170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595"/>
      <c r="S6" s="166"/>
      <c r="T6" s="166"/>
      <c r="U6" s="166"/>
      <c r="V6" s="166"/>
      <c r="W6" s="595"/>
      <c r="X6" s="166"/>
      <c r="Y6" s="166"/>
      <c r="Z6" s="166"/>
      <c r="AA6" s="166"/>
      <c r="AB6" s="595"/>
      <c r="AC6" s="166"/>
      <c r="AD6" s="166"/>
      <c r="AE6" s="166"/>
      <c r="AF6" s="166"/>
      <c r="AG6" s="595"/>
      <c r="AH6" s="166"/>
      <c r="AI6" s="166"/>
      <c r="AJ6" s="166"/>
      <c r="AK6" s="166"/>
      <c r="AL6" s="595"/>
      <c r="AM6" s="166"/>
      <c r="AN6" s="464"/>
      <c r="AO6" s="464"/>
      <c r="AP6" s="166"/>
      <c r="AQ6" s="595"/>
      <c r="AR6" s="464"/>
      <c r="AS6" s="464"/>
      <c r="AT6" s="464"/>
      <c r="AU6" s="166"/>
      <c r="AV6" s="595"/>
      <c r="AW6" s="166"/>
      <c r="AX6" s="166"/>
      <c r="AY6" s="166"/>
      <c r="AZ6" s="166"/>
      <c r="BA6" s="595"/>
      <c r="BB6" s="166"/>
      <c r="BC6" s="166"/>
      <c r="BD6" s="166"/>
      <c r="BE6" s="166"/>
      <c r="BF6" s="595"/>
      <c r="BG6" s="166"/>
      <c r="BH6" s="166"/>
      <c r="BI6" s="166"/>
      <c r="BJ6" s="166"/>
      <c r="BK6" s="595"/>
      <c r="BL6" s="166"/>
      <c r="BM6" s="166"/>
      <c r="BN6" s="166"/>
      <c r="BO6" s="166"/>
      <c r="BP6" s="595"/>
      <c r="BQ6" s="166"/>
      <c r="BR6" s="166"/>
      <c r="BS6" s="166"/>
      <c r="BT6" s="166"/>
      <c r="BU6" s="595"/>
      <c r="BV6" s="166"/>
      <c r="BW6" s="166"/>
      <c r="BX6" s="166"/>
      <c r="BY6" s="166"/>
      <c r="BZ6" s="595"/>
      <c r="CA6" s="166"/>
      <c r="CB6" s="166"/>
      <c r="CC6" s="166"/>
      <c r="CD6" s="166"/>
      <c r="CE6" s="595"/>
    </row>
    <row r="7" spans="2:83" ht="13.35" customHeight="1">
      <c r="B7" s="175" t="s">
        <v>97</v>
      </c>
      <c r="C7" s="182"/>
      <c r="D7" s="182"/>
      <c r="E7" s="182"/>
      <c r="F7" s="182"/>
      <c r="G7" s="182">
        <v>34885</v>
      </c>
      <c r="H7" s="182">
        <f t="shared" ref="H7:H10" si="0">+G7</f>
        <v>34885</v>
      </c>
      <c r="I7" s="182"/>
      <c r="J7" s="182"/>
      <c r="K7" s="182"/>
      <c r="L7" s="182">
        <v>42369</v>
      </c>
      <c r="M7" s="182">
        <f t="shared" ref="M7:M10" si="1">+L7</f>
        <v>42369</v>
      </c>
      <c r="N7" s="182">
        <v>48296</v>
      </c>
      <c r="O7" s="182">
        <v>41672</v>
      </c>
      <c r="P7" s="182">
        <v>88285</v>
      </c>
      <c r="Q7" s="182">
        <v>76504</v>
      </c>
      <c r="R7" s="562">
        <f t="shared" ref="R7:R10" si="2">+Q7</f>
        <v>76504</v>
      </c>
      <c r="S7" s="182">
        <v>78018</v>
      </c>
      <c r="T7" s="182">
        <v>84058</v>
      </c>
      <c r="U7" s="182">
        <v>94763</v>
      </c>
      <c r="V7" s="182">
        <v>91698</v>
      </c>
      <c r="W7" s="562">
        <f t="shared" ref="W7:W10" si="3">+V7</f>
        <v>91698</v>
      </c>
      <c r="X7" s="182">
        <v>112471</v>
      </c>
      <c r="Y7" s="182">
        <v>118194</v>
      </c>
      <c r="Z7" s="182">
        <v>98299</v>
      </c>
      <c r="AA7" s="182">
        <v>86737</v>
      </c>
      <c r="AB7" s="562">
        <f t="shared" ref="AB7:AB10" si="4">+AA7</f>
        <v>86737</v>
      </c>
      <c r="AC7" s="182">
        <v>109651</v>
      </c>
      <c r="AD7" s="182">
        <v>130572</v>
      </c>
      <c r="AE7" s="182">
        <v>90517</v>
      </c>
      <c r="AF7" s="182">
        <v>86591</v>
      </c>
      <c r="AG7" s="562">
        <f t="shared" ref="AG7:AG10" si="5">+AF7</f>
        <v>86591</v>
      </c>
      <c r="AH7" s="182">
        <v>93174</v>
      </c>
      <c r="AI7" s="182">
        <v>86779</v>
      </c>
      <c r="AJ7" s="182">
        <v>97964</v>
      </c>
      <c r="AK7" s="182">
        <v>41026</v>
      </c>
      <c r="AL7" s="562">
        <f t="shared" ref="AL7:AL10" si="6">+AK7</f>
        <v>41026</v>
      </c>
      <c r="AM7" s="182">
        <v>93127</v>
      </c>
      <c r="AN7" s="465">
        <v>91381</v>
      </c>
      <c r="AO7" s="182">
        <v>75615</v>
      </c>
      <c r="AP7" s="182">
        <f>87559</f>
        <v>87559</v>
      </c>
      <c r="AQ7" s="562">
        <f t="shared" ref="AQ7:AQ8" si="7">+AP7</f>
        <v>87559</v>
      </c>
      <c r="AR7" s="465">
        <v>147565</v>
      </c>
      <c r="AS7" s="465">
        <v>113909</v>
      </c>
      <c r="AT7" s="465">
        <f>93027</f>
        <v>93027</v>
      </c>
      <c r="AU7" s="182">
        <f>74132</f>
        <v>74132</v>
      </c>
      <c r="AV7" s="562">
        <f>AU7</f>
        <v>74132</v>
      </c>
      <c r="AW7" s="182">
        <f>108753</f>
        <v>108753</v>
      </c>
      <c r="AX7" s="182">
        <f>97278</f>
        <v>97278</v>
      </c>
      <c r="AY7" s="182">
        <f>145740</f>
        <v>145740</v>
      </c>
      <c r="AZ7" s="182">
        <f>137328</f>
        <v>137328</v>
      </c>
      <c r="BA7" s="562">
        <f t="shared" ref="BA7" si="8">+AZ7</f>
        <v>137328</v>
      </c>
      <c r="BB7" s="182">
        <f>166287</f>
        <v>166287</v>
      </c>
      <c r="BC7" s="182">
        <f>120965</f>
        <v>120965</v>
      </c>
      <c r="BD7" s="182">
        <f>193902</f>
        <v>193902</v>
      </c>
      <c r="BE7" s="182">
        <f>173719</f>
        <v>173719</v>
      </c>
      <c r="BF7" s="562">
        <f t="shared" ref="BF7" si="9">+BE7</f>
        <v>173719</v>
      </c>
      <c r="BG7" s="182">
        <f>193854</f>
        <v>193854</v>
      </c>
      <c r="BH7" s="182">
        <f>186145</f>
        <v>186145</v>
      </c>
      <c r="BI7" s="182">
        <f>208724</f>
        <v>208724</v>
      </c>
      <c r="BJ7" s="182">
        <f>203665</f>
        <v>203665</v>
      </c>
      <c r="BK7" s="562">
        <f t="shared" ref="BK7:BK10" si="10">+BJ7</f>
        <v>203665</v>
      </c>
      <c r="BL7" s="182">
        <f>273783</f>
        <v>273783</v>
      </c>
      <c r="BM7" s="182">
        <f>281205</f>
        <v>281205</v>
      </c>
      <c r="BN7" s="182">
        <f>235430</f>
        <v>235430</v>
      </c>
      <c r="BO7" s="182">
        <f>232182</f>
        <v>232182</v>
      </c>
      <c r="BP7" s="562">
        <f t="shared" ref="BP7:BP10" si="11">+BO7</f>
        <v>232182</v>
      </c>
      <c r="BQ7" s="182">
        <f>290671</f>
        <v>290671</v>
      </c>
      <c r="BR7" s="182">
        <f>193983</f>
        <v>193983</v>
      </c>
      <c r="BS7" s="182">
        <f>225253</f>
        <v>225253</v>
      </c>
      <c r="BT7" s="182">
        <f>250258</f>
        <v>250258</v>
      </c>
      <c r="BU7" s="562">
        <f t="shared" ref="BU7:BU10" si="12">+BT7</f>
        <v>250258</v>
      </c>
      <c r="BV7" s="182">
        <f>+CF!BV61</f>
        <v>359729.96481483337</v>
      </c>
      <c r="BW7" s="182">
        <f>+CF!BW61</f>
        <v>400997.09092225006</v>
      </c>
      <c r="BX7" s="182">
        <f>+CF!BX61</f>
        <v>487609.74430646945</v>
      </c>
      <c r="BY7" s="182">
        <f>+CF!BY61</f>
        <v>549144.82746100717</v>
      </c>
      <c r="BZ7" s="562">
        <f t="shared" ref="BZ7:BZ10" si="13">+BY7</f>
        <v>549144.82746100717</v>
      </c>
      <c r="CA7" s="182">
        <f>+CF!CA61</f>
        <v>666827.81640393543</v>
      </c>
      <c r="CB7" s="182">
        <f>+CF!CB61</f>
        <v>699696.94011482364</v>
      </c>
      <c r="CC7" s="182">
        <f>+CF!CC61</f>
        <v>807758.34950733907</v>
      </c>
      <c r="CD7" s="182">
        <f>+CF!CD61</f>
        <v>874317.89305749454</v>
      </c>
      <c r="CE7" s="562">
        <f t="shared" ref="CE7:CE10" si="14">+CD7</f>
        <v>874317.89305749454</v>
      </c>
    </row>
    <row r="8" spans="2:83" ht="13.35" customHeight="1">
      <c r="B8" s="175" t="s">
        <v>121</v>
      </c>
      <c r="C8" s="182"/>
      <c r="D8" s="182"/>
      <c r="E8" s="182"/>
      <c r="F8" s="182"/>
      <c r="G8" s="182">
        <v>83547</v>
      </c>
      <c r="H8" s="182">
        <f t="shared" si="0"/>
        <v>83547</v>
      </c>
      <c r="I8" s="182"/>
      <c r="J8" s="182"/>
      <c r="K8" s="182"/>
      <c r="L8" s="182">
        <v>54827</v>
      </c>
      <c r="M8" s="182">
        <f t="shared" si="1"/>
        <v>54827</v>
      </c>
      <c r="N8" s="182">
        <v>57312</v>
      </c>
      <c r="O8" s="182">
        <v>67673</v>
      </c>
      <c r="P8" s="182">
        <v>25133</v>
      </c>
      <c r="Q8" s="182">
        <v>50714</v>
      </c>
      <c r="R8" s="562">
        <f t="shared" si="2"/>
        <v>50714</v>
      </c>
      <c r="S8" s="182">
        <v>64932</v>
      </c>
      <c r="T8" s="182">
        <v>74052</v>
      </c>
      <c r="U8" s="182">
        <v>79382</v>
      </c>
      <c r="V8" s="182">
        <v>87268</v>
      </c>
      <c r="W8" s="562">
        <f t="shared" si="3"/>
        <v>87268</v>
      </c>
      <c r="X8" s="182">
        <v>93238</v>
      </c>
      <c r="Y8" s="182">
        <v>96186</v>
      </c>
      <c r="Z8" s="182">
        <v>111678</v>
      </c>
      <c r="AA8" s="182">
        <v>157119</v>
      </c>
      <c r="AB8" s="562">
        <f t="shared" si="4"/>
        <v>157119</v>
      </c>
      <c r="AC8" s="182">
        <v>135128</v>
      </c>
      <c r="AD8" s="182">
        <v>148290</v>
      </c>
      <c r="AE8" s="182">
        <v>212210</v>
      </c>
      <c r="AF8" s="182">
        <v>201823</v>
      </c>
      <c r="AG8" s="562">
        <f t="shared" si="5"/>
        <v>201823</v>
      </c>
      <c r="AH8" s="182">
        <v>235353</v>
      </c>
      <c r="AI8" s="182">
        <v>235740</v>
      </c>
      <c r="AJ8" s="182">
        <v>228542</v>
      </c>
      <c r="AK8" s="182">
        <v>248140</v>
      </c>
      <c r="AL8" s="562">
        <f t="shared" si="6"/>
        <v>248140</v>
      </c>
      <c r="AM8" s="182">
        <v>205009</v>
      </c>
      <c r="AN8" s="182">
        <v>207626</v>
      </c>
      <c r="AO8" s="182">
        <v>222421</v>
      </c>
      <c r="AP8" s="182">
        <f>211331</f>
        <v>211331</v>
      </c>
      <c r="AQ8" s="562">
        <f t="shared" si="7"/>
        <v>211331</v>
      </c>
      <c r="AR8" s="465">
        <v>184387</v>
      </c>
      <c r="AS8" s="465">
        <v>233922</v>
      </c>
      <c r="AT8" s="465">
        <f>225734</f>
        <v>225734</v>
      </c>
      <c r="AU8" s="182">
        <f>281892</f>
        <v>281892</v>
      </c>
      <c r="AV8" s="562">
        <f t="shared" ref="AV8:AV10" si="15">AU8</f>
        <v>281892</v>
      </c>
      <c r="AW8" s="182">
        <f>247982</f>
        <v>247982</v>
      </c>
      <c r="AX8" s="182">
        <f>262941</f>
        <v>262941</v>
      </c>
      <c r="AY8" s="182">
        <f>199947</f>
        <v>199947</v>
      </c>
      <c r="AZ8" s="182">
        <f>267960</f>
        <v>267960</v>
      </c>
      <c r="BA8" s="562">
        <f t="shared" ref="BA8" si="16">+AZ8</f>
        <v>267960</v>
      </c>
      <c r="BB8" s="182">
        <f>290851</f>
        <v>290851</v>
      </c>
      <c r="BC8" s="182">
        <f>298124</f>
        <v>298124</v>
      </c>
      <c r="BD8" s="182">
        <f>191378</f>
        <v>191378</v>
      </c>
      <c r="BE8" s="182">
        <f>147608</f>
        <v>147608</v>
      </c>
      <c r="BF8" s="562">
        <f t="shared" ref="BF8:BF10" si="17">+BE8</f>
        <v>147608</v>
      </c>
      <c r="BG8" s="182">
        <f>139925</f>
        <v>139925</v>
      </c>
      <c r="BH8" s="182">
        <f>163107</f>
        <v>163107</v>
      </c>
      <c r="BI8" s="182">
        <f>218690</f>
        <v>218690</v>
      </c>
      <c r="BJ8" s="182">
        <f>221893</f>
        <v>221893</v>
      </c>
      <c r="BK8" s="562">
        <f t="shared" si="10"/>
        <v>221893</v>
      </c>
      <c r="BL8" s="182">
        <f>179887</f>
        <v>179887</v>
      </c>
      <c r="BM8" s="182">
        <f>112004</f>
        <v>112004</v>
      </c>
      <c r="BN8" s="182">
        <f>150913</f>
        <v>150913</v>
      </c>
      <c r="BO8" s="182">
        <f>149241</f>
        <v>149241</v>
      </c>
      <c r="BP8" s="562">
        <f t="shared" si="11"/>
        <v>149241</v>
      </c>
      <c r="BQ8" s="182">
        <f>150206</f>
        <v>150206</v>
      </c>
      <c r="BR8" s="182">
        <f>176048</f>
        <v>176048</v>
      </c>
      <c r="BS8" s="182">
        <f>193321</f>
        <v>193321</v>
      </c>
      <c r="BT8" s="182">
        <f>195681</f>
        <v>195681</v>
      </c>
      <c r="BU8" s="562">
        <f t="shared" si="12"/>
        <v>195681</v>
      </c>
      <c r="BV8" s="182">
        <f>+BT8</f>
        <v>195681</v>
      </c>
      <c r="BW8" s="182">
        <f>+BV8</f>
        <v>195681</v>
      </c>
      <c r="BX8" s="182">
        <f>+BW8</f>
        <v>195681</v>
      </c>
      <c r="BY8" s="182">
        <f>+BX8</f>
        <v>195681</v>
      </c>
      <c r="BZ8" s="562">
        <f t="shared" si="13"/>
        <v>195681</v>
      </c>
      <c r="CA8" s="182">
        <f>+BY8</f>
        <v>195681</v>
      </c>
      <c r="CB8" s="182">
        <f>+CA8</f>
        <v>195681</v>
      </c>
      <c r="CC8" s="182">
        <f>+CB8</f>
        <v>195681</v>
      </c>
      <c r="CD8" s="182">
        <f>+CC8</f>
        <v>195681</v>
      </c>
      <c r="CE8" s="562">
        <f t="shared" si="14"/>
        <v>195681</v>
      </c>
    </row>
    <row r="9" spans="2:83" ht="13.35" customHeight="1">
      <c r="B9" s="175" t="s">
        <v>122</v>
      </c>
      <c r="C9" s="182"/>
      <c r="D9" s="182"/>
      <c r="E9" s="182"/>
      <c r="F9" s="182"/>
      <c r="G9" s="182">
        <v>24545</v>
      </c>
      <c r="H9" s="182">
        <f t="shared" si="0"/>
        <v>24545</v>
      </c>
      <c r="I9" s="182"/>
      <c r="J9" s="182"/>
      <c r="K9" s="182"/>
      <c r="L9" s="182">
        <v>28581</v>
      </c>
      <c r="M9" s="182">
        <f t="shared" si="1"/>
        <v>28581</v>
      </c>
      <c r="N9" s="182">
        <v>21887</v>
      </c>
      <c r="O9" s="182">
        <v>28062</v>
      </c>
      <c r="P9" s="182">
        <v>30278</v>
      </c>
      <c r="Q9" s="182">
        <v>32993</v>
      </c>
      <c r="R9" s="562">
        <f t="shared" si="2"/>
        <v>32993</v>
      </c>
      <c r="S9" s="182">
        <v>38732</v>
      </c>
      <c r="T9" s="182">
        <v>34552</v>
      </c>
      <c r="U9" s="182">
        <v>37876</v>
      </c>
      <c r="V9" s="182">
        <v>42325</v>
      </c>
      <c r="W9" s="562">
        <f t="shared" si="3"/>
        <v>42325</v>
      </c>
      <c r="X9" s="182">
        <v>42414</v>
      </c>
      <c r="Y9" s="182">
        <v>40387</v>
      </c>
      <c r="Z9" s="182">
        <v>41910</v>
      </c>
      <c r="AA9" s="182">
        <v>47024</v>
      </c>
      <c r="AB9" s="562">
        <f t="shared" si="4"/>
        <v>47024</v>
      </c>
      <c r="AC9" s="182">
        <v>41639</v>
      </c>
      <c r="AD9" s="182">
        <v>46359</v>
      </c>
      <c r="AE9" s="182">
        <v>46354</v>
      </c>
      <c r="AF9" s="182">
        <v>64412</v>
      </c>
      <c r="AG9" s="562">
        <f t="shared" si="5"/>
        <v>64412</v>
      </c>
      <c r="AH9" s="182">
        <v>49874</v>
      </c>
      <c r="AI9" s="182">
        <v>52535</v>
      </c>
      <c r="AJ9" s="182">
        <v>58612</v>
      </c>
      <c r="AK9" s="182">
        <v>75825</v>
      </c>
      <c r="AL9" s="562">
        <f t="shared" si="6"/>
        <v>75825</v>
      </c>
      <c r="AM9" s="182">
        <v>67863</v>
      </c>
      <c r="AN9" s="182">
        <v>63184</v>
      </c>
      <c r="AO9" s="182">
        <v>61314</v>
      </c>
      <c r="AP9" s="182">
        <f>78034</f>
        <v>78034</v>
      </c>
      <c r="AQ9" s="562">
        <f t="shared" ref="AQ9:AQ10" si="18">+AP9</f>
        <v>78034</v>
      </c>
      <c r="AR9" s="465">
        <v>72696</v>
      </c>
      <c r="AS9" s="465">
        <v>75938</v>
      </c>
      <c r="AT9" s="182">
        <f>64291</f>
        <v>64291</v>
      </c>
      <c r="AU9" s="182">
        <f>100179</f>
        <v>100179</v>
      </c>
      <c r="AV9" s="562">
        <f t="shared" si="15"/>
        <v>100179</v>
      </c>
      <c r="AW9" s="182">
        <f>85222</f>
        <v>85222</v>
      </c>
      <c r="AX9" s="182">
        <f>86044</f>
        <v>86044</v>
      </c>
      <c r="AY9" s="182">
        <f>84267</f>
        <v>84267</v>
      </c>
      <c r="AZ9" s="182">
        <f>108998</f>
        <v>108998</v>
      </c>
      <c r="BA9" s="562">
        <f t="shared" ref="BA9:BA10" si="19">+AZ9</f>
        <v>108998</v>
      </c>
      <c r="BB9" s="182">
        <f>89294</f>
        <v>89294</v>
      </c>
      <c r="BC9" s="182">
        <f>97692</f>
        <v>97692</v>
      </c>
      <c r="BD9" s="182">
        <f>98717</f>
        <v>98717</v>
      </c>
      <c r="BE9" s="182">
        <f>121795</f>
        <v>121795</v>
      </c>
      <c r="BF9" s="562">
        <f t="shared" si="17"/>
        <v>121795</v>
      </c>
      <c r="BG9" s="182">
        <f>101786</f>
        <v>101786</v>
      </c>
      <c r="BH9" s="182">
        <f>124912</f>
        <v>124912</v>
      </c>
      <c r="BI9" s="182">
        <f>103428</f>
        <v>103428</v>
      </c>
      <c r="BJ9" s="182">
        <f>146226</f>
        <v>146226</v>
      </c>
      <c r="BK9" s="562">
        <f t="shared" si="10"/>
        <v>146226</v>
      </c>
      <c r="BL9" s="182">
        <f>115629</f>
        <v>115629</v>
      </c>
      <c r="BM9" s="182">
        <f>109584</f>
        <v>109584</v>
      </c>
      <c r="BN9" s="182">
        <f>114967</f>
        <v>114967</v>
      </c>
      <c r="BO9" s="182">
        <f>164551</f>
        <v>164551</v>
      </c>
      <c r="BP9" s="562">
        <f t="shared" si="11"/>
        <v>164551</v>
      </c>
      <c r="BQ9" s="182">
        <f>121563</f>
        <v>121563</v>
      </c>
      <c r="BR9" s="182">
        <f>128675</f>
        <v>128675</v>
      </c>
      <c r="BS9" s="182">
        <f>128418</f>
        <v>128418</v>
      </c>
      <c r="BT9" s="182">
        <f>170991</f>
        <v>170991</v>
      </c>
      <c r="BU9" s="562">
        <f t="shared" si="12"/>
        <v>170991</v>
      </c>
      <c r="BV9" s="182">
        <f t="shared" ref="BV9:BY9" si="20">+BV58*BV74/90</f>
        <v>131081.64688888891</v>
      </c>
      <c r="BW9" s="182">
        <f t="shared" si="20"/>
        <v>141749.568</v>
      </c>
      <c r="BX9" s="182">
        <f t="shared" si="20"/>
        <v>131894.49722222221</v>
      </c>
      <c r="BY9" s="182">
        <f t="shared" si="20"/>
        <v>191719.55644444446</v>
      </c>
      <c r="BZ9" s="562">
        <f t="shared" si="13"/>
        <v>191719.55644444446</v>
      </c>
      <c r="CA9" s="182">
        <f t="shared" ref="CA9:CD9" si="21">+CA58*CA74/90</f>
        <v>143650.06362000003</v>
      </c>
      <c r="CB9" s="182">
        <f t="shared" si="21"/>
        <v>149565.48168000003</v>
      </c>
      <c r="CC9" s="182">
        <f t="shared" si="21"/>
        <v>141959.06193333332</v>
      </c>
      <c r="CD9" s="182">
        <f t="shared" si="21"/>
        <v>198804.84440000003</v>
      </c>
      <c r="CE9" s="562">
        <f t="shared" si="14"/>
        <v>198804.84440000003</v>
      </c>
    </row>
    <row r="10" spans="2:83" ht="13.35" customHeight="1">
      <c r="B10" s="175" t="s">
        <v>123</v>
      </c>
      <c r="C10" s="182"/>
      <c r="D10" s="182"/>
      <c r="E10" s="182"/>
      <c r="F10" s="182"/>
      <c r="G10" s="182">
        <v>4377</v>
      </c>
      <c r="H10" s="182">
        <f t="shared" si="0"/>
        <v>4377</v>
      </c>
      <c r="I10" s="182"/>
      <c r="J10" s="182"/>
      <c r="K10" s="182"/>
      <c r="L10" s="182">
        <v>4679</v>
      </c>
      <c r="M10" s="182">
        <f t="shared" si="1"/>
        <v>4679</v>
      </c>
      <c r="N10" s="182">
        <v>4389</v>
      </c>
      <c r="O10" s="182">
        <v>5502</v>
      </c>
      <c r="P10" s="182">
        <v>5901</v>
      </c>
      <c r="Q10" s="182">
        <v>6528</v>
      </c>
      <c r="R10" s="562">
        <f t="shared" si="2"/>
        <v>6528</v>
      </c>
      <c r="S10" s="182">
        <v>14167</v>
      </c>
      <c r="T10" s="182">
        <v>12851</v>
      </c>
      <c r="U10" s="182">
        <v>13300</v>
      </c>
      <c r="V10" s="182">
        <v>7945</v>
      </c>
      <c r="W10" s="562">
        <f t="shared" si="3"/>
        <v>7945</v>
      </c>
      <c r="X10" s="182">
        <v>7448</v>
      </c>
      <c r="Y10" s="182">
        <v>7635</v>
      </c>
      <c r="Z10" s="182">
        <v>9072</v>
      </c>
      <c r="AA10" s="182">
        <v>9808</v>
      </c>
      <c r="AB10" s="562">
        <f t="shared" si="4"/>
        <v>9808</v>
      </c>
      <c r="AC10" s="182">
        <v>9043</v>
      </c>
      <c r="AD10" s="182">
        <v>19055</v>
      </c>
      <c r="AE10" s="182">
        <v>18299</v>
      </c>
      <c r="AF10" s="182">
        <v>16524</v>
      </c>
      <c r="AG10" s="562">
        <f t="shared" si="5"/>
        <v>16524</v>
      </c>
      <c r="AH10" s="182">
        <v>15488</v>
      </c>
      <c r="AI10" s="182">
        <v>15815</v>
      </c>
      <c r="AJ10" s="182">
        <v>16623</v>
      </c>
      <c r="AK10" s="182">
        <v>13974</v>
      </c>
      <c r="AL10" s="562">
        <f t="shared" si="6"/>
        <v>13974</v>
      </c>
      <c r="AM10" s="182">
        <v>16539</v>
      </c>
      <c r="AN10" s="182">
        <v>19395</v>
      </c>
      <c r="AO10" s="182">
        <v>20459</v>
      </c>
      <c r="AP10" s="182">
        <f>18692</f>
        <v>18692</v>
      </c>
      <c r="AQ10" s="562">
        <f t="shared" si="18"/>
        <v>18692</v>
      </c>
      <c r="AR10" s="182">
        <v>20490</v>
      </c>
      <c r="AS10" s="182">
        <v>24338</v>
      </c>
      <c r="AT10" s="182">
        <f>22480</f>
        <v>22480</v>
      </c>
      <c r="AU10" s="182">
        <f>19142</f>
        <v>19142</v>
      </c>
      <c r="AV10" s="562">
        <f t="shared" si="15"/>
        <v>19142</v>
      </c>
      <c r="AW10" s="182">
        <f>22099</f>
        <v>22099</v>
      </c>
      <c r="AX10" s="182">
        <f>21979</f>
        <v>21979</v>
      </c>
      <c r="AY10" s="182">
        <f>22899</f>
        <v>22899</v>
      </c>
      <c r="AZ10" s="182">
        <f>32112</f>
        <v>32112</v>
      </c>
      <c r="BA10" s="562">
        <f t="shared" si="19"/>
        <v>32112</v>
      </c>
      <c r="BB10" s="182">
        <f>26752</f>
        <v>26752</v>
      </c>
      <c r="BC10" s="182">
        <f>34959</f>
        <v>34959</v>
      </c>
      <c r="BD10" s="182">
        <f>38736</f>
        <v>38736</v>
      </c>
      <c r="BE10" s="182">
        <f>30216</f>
        <v>30216</v>
      </c>
      <c r="BF10" s="562">
        <f t="shared" si="17"/>
        <v>30216</v>
      </c>
      <c r="BG10" s="182">
        <f>29183</f>
        <v>29183</v>
      </c>
      <c r="BH10" s="182">
        <v>34017</v>
      </c>
      <c r="BI10" s="182">
        <f>29836</f>
        <v>29836</v>
      </c>
      <c r="BJ10" s="182">
        <f>26714</f>
        <v>26714</v>
      </c>
      <c r="BK10" s="562">
        <f t="shared" si="10"/>
        <v>26714</v>
      </c>
      <c r="BL10" s="182">
        <f>36112</f>
        <v>36112</v>
      </c>
      <c r="BM10" s="182">
        <f>31266</f>
        <v>31266</v>
      </c>
      <c r="BN10" s="182">
        <f>35307</f>
        <v>35307</v>
      </c>
      <c r="BO10" s="182">
        <f>39717</f>
        <v>39717</v>
      </c>
      <c r="BP10" s="562">
        <f t="shared" si="11"/>
        <v>39717</v>
      </c>
      <c r="BQ10" s="182">
        <f>39506</f>
        <v>39506</v>
      </c>
      <c r="BR10" s="182">
        <f>44266</f>
        <v>44266</v>
      </c>
      <c r="BS10" s="182">
        <f>49720</f>
        <v>49720</v>
      </c>
      <c r="BT10" s="182">
        <f>40686</f>
        <v>40686</v>
      </c>
      <c r="BU10" s="562">
        <f t="shared" si="12"/>
        <v>40686</v>
      </c>
      <c r="BV10" s="182">
        <f>+(BV59+BV60)*BV78</f>
        <v>39379.062560000006</v>
      </c>
      <c r="BW10" s="182">
        <f>+(BW59+BW60)*BW78</f>
        <v>41192.585480000002</v>
      </c>
      <c r="BX10" s="182">
        <f>+(BX59+BX60)*BX78</f>
        <v>53083.714458000002</v>
      </c>
      <c r="BY10" s="182">
        <f>+(BY59+BY60)*BY78</f>
        <v>38888.568924275001</v>
      </c>
      <c r="BZ10" s="562">
        <f t="shared" si="13"/>
        <v>38888.568924275001</v>
      </c>
      <c r="CA10" s="182">
        <f>+(CA59+CA60)*CA78</f>
        <v>38069.306051758802</v>
      </c>
      <c r="CB10" s="182">
        <f>+(CB59+CB60)*CB78</f>
        <v>43709.558792975629</v>
      </c>
      <c r="CC10" s="182">
        <f>+(CC59+CC60)*CC78</f>
        <v>43967.652725585889</v>
      </c>
      <c r="CD10" s="182">
        <f>+(CD59+CD60)*CD78</f>
        <v>43267.735160181939</v>
      </c>
      <c r="CE10" s="562">
        <f t="shared" si="14"/>
        <v>43267.735160181939</v>
      </c>
    </row>
    <row r="11" spans="2:83" ht="3.6" customHeight="1">
      <c r="B11" s="175"/>
      <c r="C11" s="244"/>
      <c r="D11" s="188" t="s">
        <v>0</v>
      </c>
      <c r="E11" s="188" t="s">
        <v>0</v>
      </c>
      <c r="F11" s="188" t="s">
        <v>0</v>
      </c>
      <c r="G11" s="188" t="s">
        <v>0</v>
      </c>
      <c r="H11" s="188" t="s">
        <v>0</v>
      </c>
      <c r="I11" s="188" t="s">
        <v>0</v>
      </c>
      <c r="J11" s="188" t="s">
        <v>0</v>
      </c>
      <c r="K11" s="188" t="s">
        <v>0</v>
      </c>
      <c r="L11" s="188" t="s">
        <v>0</v>
      </c>
      <c r="M11" s="188" t="s">
        <v>0</v>
      </c>
      <c r="N11" s="188" t="s">
        <v>0</v>
      </c>
      <c r="O11" s="188" t="s">
        <v>0</v>
      </c>
      <c r="P11" s="188" t="s">
        <v>0</v>
      </c>
      <c r="Q11" s="188" t="s">
        <v>0</v>
      </c>
      <c r="R11" s="596" t="s">
        <v>0</v>
      </c>
      <c r="S11" s="188" t="s">
        <v>0</v>
      </c>
      <c r="T11" s="188" t="s">
        <v>0</v>
      </c>
      <c r="U11" s="188" t="s">
        <v>0</v>
      </c>
      <c r="V11" s="188" t="s">
        <v>0</v>
      </c>
      <c r="W11" s="596" t="s">
        <v>0</v>
      </c>
      <c r="X11" s="188" t="s">
        <v>0</v>
      </c>
      <c r="Y11" s="188" t="s">
        <v>0</v>
      </c>
      <c r="Z11" s="188" t="s">
        <v>0</v>
      </c>
      <c r="AA11" s="188" t="s">
        <v>0</v>
      </c>
      <c r="AB11" s="596" t="s">
        <v>0</v>
      </c>
      <c r="AC11" s="188" t="s">
        <v>0</v>
      </c>
      <c r="AD11" s="188" t="s">
        <v>0</v>
      </c>
      <c r="AE11" s="188" t="s">
        <v>0</v>
      </c>
      <c r="AF11" s="188" t="s">
        <v>0</v>
      </c>
      <c r="AG11" s="596" t="s">
        <v>0</v>
      </c>
      <c r="AH11" s="188" t="s">
        <v>0</v>
      </c>
      <c r="AI11" s="188" t="s">
        <v>0</v>
      </c>
      <c r="AJ11" s="188" t="s">
        <v>0</v>
      </c>
      <c r="AK11" s="188" t="s">
        <v>0</v>
      </c>
      <c r="AL11" s="596" t="s">
        <v>0</v>
      </c>
      <c r="AM11" s="188" t="s">
        <v>0</v>
      </c>
      <c r="AN11" s="188" t="s">
        <v>0</v>
      </c>
      <c r="AO11" s="188" t="s">
        <v>0</v>
      </c>
      <c r="AP11" s="188" t="s">
        <v>0</v>
      </c>
      <c r="AQ11" s="596" t="s">
        <v>0</v>
      </c>
      <c r="AR11" s="188" t="s">
        <v>0</v>
      </c>
      <c r="AS11" s="188" t="s">
        <v>0</v>
      </c>
      <c r="AT11" s="188" t="s">
        <v>0</v>
      </c>
      <c r="AU11" s="188" t="s">
        <v>0</v>
      </c>
      <c r="AV11" s="596" t="s">
        <v>0</v>
      </c>
      <c r="AW11" s="188" t="s">
        <v>0</v>
      </c>
      <c r="AX11" s="188" t="s">
        <v>0</v>
      </c>
      <c r="AY11" s="188" t="s">
        <v>0</v>
      </c>
      <c r="AZ11" s="188" t="s">
        <v>0</v>
      </c>
      <c r="BA11" s="596" t="s">
        <v>0</v>
      </c>
      <c r="BB11" s="188" t="s">
        <v>0</v>
      </c>
      <c r="BC11" s="188" t="s">
        <v>0</v>
      </c>
      <c r="BD11" s="188" t="s">
        <v>0</v>
      </c>
      <c r="BE11" s="188" t="s">
        <v>0</v>
      </c>
      <c r="BF11" s="596" t="s">
        <v>0</v>
      </c>
      <c r="BG11" s="188" t="s">
        <v>0</v>
      </c>
      <c r="BH11" s="188" t="s">
        <v>0</v>
      </c>
      <c r="BI11" s="188" t="s">
        <v>0</v>
      </c>
      <c r="BJ11" s="188" t="s">
        <v>0</v>
      </c>
      <c r="BK11" s="596" t="s">
        <v>0</v>
      </c>
      <c r="BL11" s="188" t="s">
        <v>0</v>
      </c>
      <c r="BM11" s="188" t="s">
        <v>0</v>
      </c>
      <c r="BN11" s="188" t="s">
        <v>0</v>
      </c>
      <c r="BO11" s="188" t="s">
        <v>0</v>
      </c>
      <c r="BP11" s="596" t="s">
        <v>0</v>
      </c>
      <c r="BQ11" s="188" t="s">
        <v>0</v>
      </c>
      <c r="BR11" s="188" t="s">
        <v>0</v>
      </c>
      <c r="BS11" s="188" t="s">
        <v>0</v>
      </c>
      <c r="BT11" s="188" t="s">
        <v>0</v>
      </c>
      <c r="BU11" s="596" t="s">
        <v>0</v>
      </c>
      <c r="BV11" s="188" t="s">
        <v>0</v>
      </c>
      <c r="BW11" s="188" t="s">
        <v>0</v>
      </c>
      <c r="BX11" s="188" t="s">
        <v>0</v>
      </c>
      <c r="BY11" s="188" t="s">
        <v>0</v>
      </c>
      <c r="BZ11" s="596" t="s">
        <v>0</v>
      </c>
      <c r="CA11" s="188" t="s">
        <v>0</v>
      </c>
      <c r="CB11" s="188" t="s">
        <v>0</v>
      </c>
      <c r="CC11" s="188" t="s">
        <v>0</v>
      </c>
      <c r="CD11" s="188" t="s">
        <v>0</v>
      </c>
      <c r="CE11" s="596" t="s">
        <v>0</v>
      </c>
    </row>
    <row r="12" spans="2:83" ht="13.35" customHeight="1">
      <c r="B12" s="190" t="s">
        <v>98</v>
      </c>
      <c r="C12" s="179"/>
      <c r="D12" s="179">
        <f t="shared" ref="D12:AI12" si="22">SUM(D7:D10)</f>
        <v>0</v>
      </c>
      <c r="E12" s="179">
        <f t="shared" si="22"/>
        <v>0</v>
      </c>
      <c r="F12" s="179">
        <f t="shared" si="22"/>
        <v>0</v>
      </c>
      <c r="G12" s="179">
        <f t="shared" si="22"/>
        <v>147354</v>
      </c>
      <c r="H12" s="179">
        <f t="shared" si="22"/>
        <v>147354</v>
      </c>
      <c r="I12" s="179">
        <f t="shared" si="22"/>
        <v>0</v>
      </c>
      <c r="J12" s="179">
        <f t="shared" si="22"/>
        <v>0</v>
      </c>
      <c r="K12" s="179">
        <f t="shared" si="22"/>
        <v>0</v>
      </c>
      <c r="L12" s="179">
        <f t="shared" si="22"/>
        <v>130456</v>
      </c>
      <c r="M12" s="179">
        <f t="shared" si="22"/>
        <v>130456</v>
      </c>
      <c r="N12" s="179">
        <f t="shared" si="22"/>
        <v>131884</v>
      </c>
      <c r="O12" s="179">
        <f t="shared" si="22"/>
        <v>142909</v>
      </c>
      <c r="P12" s="179">
        <f t="shared" si="22"/>
        <v>149597</v>
      </c>
      <c r="Q12" s="179">
        <f t="shared" si="22"/>
        <v>166739</v>
      </c>
      <c r="R12" s="555">
        <f t="shared" si="22"/>
        <v>166739</v>
      </c>
      <c r="S12" s="179">
        <f t="shared" si="22"/>
        <v>195849</v>
      </c>
      <c r="T12" s="179">
        <f t="shared" si="22"/>
        <v>205513</v>
      </c>
      <c r="U12" s="179">
        <f t="shared" si="22"/>
        <v>225321</v>
      </c>
      <c r="V12" s="179">
        <f t="shared" si="22"/>
        <v>229236</v>
      </c>
      <c r="W12" s="555">
        <f t="shared" si="22"/>
        <v>229236</v>
      </c>
      <c r="X12" s="179">
        <f t="shared" si="22"/>
        <v>255571</v>
      </c>
      <c r="Y12" s="179">
        <f t="shared" si="22"/>
        <v>262402</v>
      </c>
      <c r="Z12" s="179">
        <f t="shared" si="22"/>
        <v>260959</v>
      </c>
      <c r="AA12" s="179">
        <f t="shared" si="22"/>
        <v>300688</v>
      </c>
      <c r="AB12" s="555">
        <f t="shared" si="22"/>
        <v>300688</v>
      </c>
      <c r="AC12" s="179">
        <f t="shared" si="22"/>
        <v>295461</v>
      </c>
      <c r="AD12" s="179">
        <f t="shared" si="22"/>
        <v>344276</v>
      </c>
      <c r="AE12" s="179">
        <f t="shared" si="22"/>
        <v>367380</v>
      </c>
      <c r="AF12" s="179">
        <f t="shared" si="22"/>
        <v>369350</v>
      </c>
      <c r="AG12" s="555">
        <f t="shared" si="22"/>
        <v>369350</v>
      </c>
      <c r="AH12" s="179">
        <f t="shared" si="22"/>
        <v>393889</v>
      </c>
      <c r="AI12" s="179">
        <f t="shared" si="22"/>
        <v>390869</v>
      </c>
      <c r="AJ12" s="179">
        <f t="shared" ref="AJ12:BA12" si="23">SUM(AJ7:AJ10)</f>
        <v>401741</v>
      </c>
      <c r="AK12" s="179">
        <f t="shared" si="23"/>
        <v>378965</v>
      </c>
      <c r="AL12" s="555">
        <f t="shared" si="23"/>
        <v>378965</v>
      </c>
      <c r="AM12" s="179">
        <f t="shared" si="23"/>
        <v>382538</v>
      </c>
      <c r="AN12" s="179">
        <f t="shared" si="23"/>
        <v>381586</v>
      </c>
      <c r="AO12" s="179">
        <f t="shared" si="23"/>
        <v>379809</v>
      </c>
      <c r="AP12" s="179">
        <f t="shared" si="23"/>
        <v>395616</v>
      </c>
      <c r="AQ12" s="555">
        <f t="shared" si="23"/>
        <v>395616</v>
      </c>
      <c r="AR12" s="179">
        <f t="shared" si="23"/>
        <v>425138</v>
      </c>
      <c r="AS12" s="179">
        <f t="shared" si="23"/>
        <v>448107</v>
      </c>
      <c r="AT12" s="179">
        <f t="shared" si="23"/>
        <v>405532</v>
      </c>
      <c r="AU12" s="179">
        <f t="shared" si="23"/>
        <v>475345</v>
      </c>
      <c r="AV12" s="555">
        <f t="shared" si="23"/>
        <v>475345</v>
      </c>
      <c r="AW12" s="179">
        <f t="shared" si="23"/>
        <v>464056</v>
      </c>
      <c r="AX12" s="179">
        <f t="shared" si="23"/>
        <v>468242</v>
      </c>
      <c r="AY12" s="179">
        <f t="shared" si="23"/>
        <v>452853</v>
      </c>
      <c r="AZ12" s="179">
        <f t="shared" si="23"/>
        <v>546398</v>
      </c>
      <c r="BA12" s="555">
        <f t="shared" si="23"/>
        <v>546398</v>
      </c>
      <c r="BB12" s="179">
        <f t="shared" ref="BB12:BF12" si="24">SUM(BB7:BB10)</f>
        <v>573184</v>
      </c>
      <c r="BC12" s="179">
        <f t="shared" si="24"/>
        <v>551740</v>
      </c>
      <c r="BD12" s="179">
        <f t="shared" si="24"/>
        <v>522733</v>
      </c>
      <c r="BE12" s="179">
        <f t="shared" si="24"/>
        <v>473338</v>
      </c>
      <c r="BF12" s="555">
        <f t="shared" si="24"/>
        <v>473338</v>
      </c>
      <c r="BG12" s="179">
        <f t="shared" ref="BG12:BK12" si="25">SUM(BG7:BG10)</f>
        <v>464748</v>
      </c>
      <c r="BH12" s="179">
        <f t="shared" si="25"/>
        <v>508181</v>
      </c>
      <c r="BI12" s="179">
        <f t="shared" si="25"/>
        <v>560678</v>
      </c>
      <c r="BJ12" s="179">
        <f t="shared" si="25"/>
        <v>598498</v>
      </c>
      <c r="BK12" s="555">
        <f t="shared" si="25"/>
        <v>598498</v>
      </c>
      <c r="BL12" s="179">
        <f t="shared" ref="BL12:BP12" si="26">SUM(BL7:BL10)</f>
        <v>605411</v>
      </c>
      <c r="BM12" s="179">
        <f t="shared" si="26"/>
        <v>534059</v>
      </c>
      <c r="BN12" s="179">
        <f t="shared" si="26"/>
        <v>536617</v>
      </c>
      <c r="BO12" s="179">
        <f t="shared" si="26"/>
        <v>585691</v>
      </c>
      <c r="BP12" s="555">
        <f t="shared" si="26"/>
        <v>585691</v>
      </c>
      <c r="BQ12" s="179">
        <f t="shared" ref="BQ12:BU12" si="27">SUM(BQ7:BQ10)</f>
        <v>601946</v>
      </c>
      <c r="BR12" s="179">
        <f t="shared" si="27"/>
        <v>542972</v>
      </c>
      <c r="BS12" s="179">
        <f t="shared" si="27"/>
        <v>596712</v>
      </c>
      <c r="BT12" s="179">
        <f t="shared" si="27"/>
        <v>657616</v>
      </c>
      <c r="BU12" s="555">
        <f t="shared" si="27"/>
        <v>657616</v>
      </c>
      <c r="BV12" s="179">
        <f t="shared" ref="BV12:BZ12" si="28">SUM(BV7:BV10)</f>
        <v>725871.67426372226</v>
      </c>
      <c r="BW12" s="179">
        <f t="shared" si="28"/>
        <v>779620.24440225004</v>
      </c>
      <c r="BX12" s="179">
        <f t="shared" si="28"/>
        <v>868268.95598669176</v>
      </c>
      <c r="BY12" s="179">
        <f t="shared" si="28"/>
        <v>975433.95282972662</v>
      </c>
      <c r="BZ12" s="555">
        <f t="shared" si="28"/>
        <v>975433.95282972662</v>
      </c>
      <c r="CA12" s="179">
        <f t="shared" ref="CA12:CE12" si="29">SUM(CA7:CA10)</f>
        <v>1044228.1860756943</v>
      </c>
      <c r="CB12" s="179">
        <f t="shared" si="29"/>
        <v>1088652.9805877993</v>
      </c>
      <c r="CC12" s="179">
        <f t="shared" si="29"/>
        <v>1189366.0641662583</v>
      </c>
      <c r="CD12" s="179">
        <f t="shared" si="29"/>
        <v>1312071.4726176765</v>
      </c>
      <c r="CE12" s="555">
        <f t="shared" si="29"/>
        <v>1312071.4726176765</v>
      </c>
    </row>
    <row r="13" spans="2:83" ht="1.5" customHeight="1">
      <c r="B13" s="166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562"/>
      <c r="S13" s="182"/>
      <c r="T13" s="182"/>
      <c r="U13" s="182"/>
      <c r="V13" s="182"/>
      <c r="W13" s="562"/>
      <c r="X13" s="182"/>
      <c r="Y13" s="182"/>
      <c r="Z13" s="182"/>
      <c r="AA13" s="182"/>
      <c r="AB13" s="562"/>
      <c r="AC13" s="182"/>
      <c r="AD13" s="182"/>
      <c r="AE13" s="182"/>
      <c r="AF13" s="182"/>
      <c r="AG13" s="562"/>
      <c r="AH13" s="182"/>
      <c r="AI13" s="182"/>
      <c r="AJ13" s="182"/>
      <c r="AK13" s="182"/>
      <c r="AL13" s="562"/>
      <c r="AM13" s="182"/>
      <c r="AN13" s="182"/>
      <c r="AO13" s="182"/>
      <c r="AP13" s="182"/>
      <c r="AQ13" s="562"/>
      <c r="AR13" s="182"/>
      <c r="AS13" s="182"/>
      <c r="AT13" s="182"/>
      <c r="AU13" s="182"/>
      <c r="AV13" s="562"/>
      <c r="AW13" s="182"/>
      <c r="AX13" s="182"/>
      <c r="AY13" s="182"/>
      <c r="AZ13" s="182"/>
      <c r="BA13" s="562"/>
      <c r="BB13" s="182"/>
      <c r="BC13" s="182"/>
      <c r="BD13" s="182"/>
      <c r="BE13" s="182"/>
      <c r="BF13" s="562"/>
      <c r="BG13" s="182"/>
      <c r="BH13" s="182"/>
      <c r="BI13" s="182"/>
      <c r="BJ13" s="182"/>
      <c r="BK13" s="562"/>
      <c r="BL13" s="182"/>
      <c r="BM13" s="182"/>
      <c r="BN13" s="182"/>
      <c r="BO13" s="182"/>
      <c r="BP13" s="562"/>
      <c r="BQ13" s="182"/>
      <c r="BR13" s="182"/>
      <c r="BS13" s="182"/>
      <c r="BT13" s="182"/>
      <c r="BU13" s="562"/>
      <c r="BV13" s="182"/>
      <c r="BW13" s="182"/>
      <c r="BX13" s="182"/>
      <c r="BY13" s="182"/>
      <c r="BZ13" s="562"/>
      <c r="CA13" s="182"/>
      <c r="CB13" s="182"/>
      <c r="CC13" s="182"/>
      <c r="CD13" s="182"/>
      <c r="CE13" s="562"/>
    </row>
    <row r="14" spans="2:83" ht="13.35" customHeight="1">
      <c r="B14" s="166" t="s">
        <v>158</v>
      </c>
      <c r="C14" s="182"/>
      <c r="D14" s="182"/>
      <c r="E14" s="182"/>
      <c r="F14" s="182"/>
      <c r="G14" s="182">
        <v>0</v>
      </c>
      <c r="H14" s="182">
        <f>+G14</f>
        <v>0</v>
      </c>
      <c r="I14" s="182"/>
      <c r="J14" s="182"/>
      <c r="K14" s="182"/>
      <c r="L14" s="182">
        <v>35608</v>
      </c>
      <c r="M14" s="182">
        <f>+L14</f>
        <v>35608</v>
      </c>
      <c r="N14" s="182">
        <v>39387</v>
      </c>
      <c r="O14" s="182">
        <v>34415</v>
      </c>
      <c r="P14" s="182">
        <v>37896</v>
      </c>
      <c r="Q14" s="182">
        <v>39448</v>
      </c>
      <c r="R14" s="562">
        <f>+Q14</f>
        <v>39448</v>
      </c>
      <c r="S14" s="182">
        <v>30891</v>
      </c>
      <c r="T14" s="182">
        <v>29031</v>
      </c>
      <c r="U14" s="182">
        <v>25732</v>
      </c>
      <c r="V14" s="182">
        <v>43277</v>
      </c>
      <c r="W14" s="562">
        <f>+V14</f>
        <v>43277</v>
      </c>
      <c r="X14" s="182">
        <v>34614</v>
      </c>
      <c r="Y14" s="182">
        <v>46534</v>
      </c>
      <c r="Z14" s="182">
        <v>64930.000000000007</v>
      </c>
      <c r="AA14" s="182">
        <v>45725</v>
      </c>
      <c r="AB14" s="562">
        <f>+AA14</f>
        <v>45725</v>
      </c>
      <c r="AC14" s="182">
        <v>63684</v>
      </c>
      <c r="AD14" s="182">
        <v>45003</v>
      </c>
      <c r="AE14" s="182">
        <v>40358</v>
      </c>
      <c r="AF14" s="182">
        <v>67224</v>
      </c>
      <c r="AG14" s="562">
        <f>+AF14</f>
        <v>67224</v>
      </c>
      <c r="AH14" s="182">
        <v>65363</v>
      </c>
      <c r="AI14" s="182">
        <f>64215+2500</f>
        <v>66715</v>
      </c>
      <c r="AJ14" s="182">
        <f>64103+2500</f>
        <v>66603</v>
      </c>
      <c r="AK14" s="182">
        <f>76710+2500</f>
        <v>79210</v>
      </c>
      <c r="AL14" s="562">
        <f>+AK14</f>
        <v>79210</v>
      </c>
      <c r="AM14" s="182">
        <v>96322</v>
      </c>
      <c r="AN14" s="182">
        <v>111521</v>
      </c>
      <c r="AO14" s="182">
        <v>100951</v>
      </c>
      <c r="AP14" s="182">
        <f>119508</f>
        <v>119508</v>
      </c>
      <c r="AQ14" s="562">
        <f>+AP14</f>
        <v>119508</v>
      </c>
      <c r="AR14" s="182">
        <v>102777</v>
      </c>
      <c r="AS14" s="182">
        <v>97483</v>
      </c>
      <c r="AT14" s="182">
        <f>133260</f>
        <v>133260</v>
      </c>
      <c r="AU14" s="182">
        <f>98458</f>
        <v>98458</v>
      </c>
      <c r="AV14" s="562">
        <f t="shared" ref="AV14:AV17" si="30">AU14</f>
        <v>98458</v>
      </c>
      <c r="AW14" s="182">
        <f>101474</f>
        <v>101474</v>
      </c>
      <c r="AX14" s="182">
        <f>110890</f>
        <v>110890</v>
      </c>
      <c r="AY14" s="182">
        <f>136124</f>
        <v>136124</v>
      </c>
      <c r="AZ14" s="182">
        <f>111198</f>
        <v>111198</v>
      </c>
      <c r="BA14" s="562">
        <f>+AZ14</f>
        <v>111198</v>
      </c>
      <c r="BB14" s="182">
        <f>82360</f>
        <v>82360</v>
      </c>
      <c r="BC14" s="182">
        <f>80122</f>
        <v>80122</v>
      </c>
      <c r="BD14" s="182">
        <f>70997</f>
        <v>70997</v>
      </c>
      <c r="BE14" s="182">
        <f>59206</f>
        <v>59206</v>
      </c>
      <c r="BF14" s="562">
        <f>+BE14</f>
        <v>59206</v>
      </c>
      <c r="BG14" s="182">
        <f>44587</f>
        <v>44587</v>
      </c>
      <c r="BH14" s="182">
        <f>38838</f>
        <v>38838</v>
      </c>
      <c r="BI14" s="182">
        <f>33648</f>
        <v>33648</v>
      </c>
      <c r="BJ14" s="182">
        <f>56644</f>
        <v>56644</v>
      </c>
      <c r="BK14" s="562">
        <f>+BJ14</f>
        <v>56644</v>
      </c>
      <c r="BL14" s="182">
        <f>89693</f>
        <v>89693</v>
      </c>
      <c r="BM14" s="182">
        <f>162058</f>
        <v>162058</v>
      </c>
      <c r="BN14" s="182">
        <f>186680</f>
        <v>186680</v>
      </c>
      <c r="BO14" s="182">
        <f>193887</f>
        <v>193887</v>
      </c>
      <c r="BP14" s="562">
        <f>+BO14</f>
        <v>193887</v>
      </c>
      <c r="BQ14" s="182">
        <f>198990</f>
        <v>198990</v>
      </c>
      <c r="BR14" s="182">
        <f>251179</f>
        <v>251179</v>
      </c>
      <c r="BS14" s="182">
        <f>244984</f>
        <v>244984</v>
      </c>
      <c r="BT14" s="182">
        <f>250868</f>
        <v>250868</v>
      </c>
      <c r="BU14" s="562">
        <f>+BT14</f>
        <v>250868</v>
      </c>
      <c r="BV14" s="182">
        <f>+BT14</f>
        <v>250868</v>
      </c>
      <c r="BW14" s="182">
        <f>+BV14</f>
        <v>250868</v>
      </c>
      <c r="BX14" s="182">
        <f t="shared" ref="BX14" si="31">+BW14</f>
        <v>250868</v>
      </c>
      <c r="BY14" s="182">
        <f t="shared" ref="BY14" si="32">+BX14</f>
        <v>250868</v>
      </c>
      <c r="BZ14" s="562">
        <f>+BY14</f>
        <v>250868</v>
      </c>
      <c r="CA14" s="182">
        <f>+BY14</f>
        <v>250868</v>
      </c>
      <c r="CB14" s="182">
        <f>+CA14</f>
        <v>250868</v>
      </c>
      <c r="CC14" s="182">
        <f t="shared" ref="CC14" si="33">+CB14</f>
        <v>250868</v>
      </c>
      <c r="CD14" s="182">
        <f t="shared" ref="CD14" si="34">+CC14</f>
        <v>250868</v>
      </c>
      <c r="CE14" s="562">
        <f>+CD14</f>
        <v>250868</v>
      </c>
    </row>
    <row r="15" spans="2:83" ht="13.35" customHeight="1">
      <c r="B15" s="166" t="s">
        <v>125</v>
      </c>
      <c r="C15" s="182"/>
      <c r="D15" s="182"/>
      <c r="E15" s="182"/>
      <c r="F15" s="182"/>
      <c r="G15" s="182">
        <v>18148</v>
      </c>
      <c r="H15" s="182">
        <f t="shared" ref="H15:H17" si="35">+G15</f>
        <v>18148</v>
      </c>
      <c r="I15" s="182"/>
      <c r="J15" s="182"/>
      <c r="K15" s="182"/>
      <c r="L15" s="182">
        <v>23075</v>
      </c>
      <c r="M15" s="182">
        <f t="shared" ref="M15:M17" si="36">+L15</f>
        <v>23075</v>
      </c>
      <c r="N15" s="182">
        <v>24169</v>
      </c>
      <c r="O15" s="182">
        <v>24012</v>
      </c>
      <c r="P15" s="182">
        <v>24776</v>
      </c>
      <c r="Q15" s="182">
        <v>26618</v>
      </c>
      <c r="R15" s="562">
        <f t="shared" ref="R15:R17" si="37">+Q15</f>
        <v>26618</v>
      </c>
      <c r="S15" s="182">
        <v>28279</v>
      </c>
      <c r="T15" s="182">
        <v>29238</v>
      </c>
      <c r="U15" s="182">
        <v>29965</v>
      </c>
      <c r="V15" s="182">
        <v>31329</v>
      </c>
      <c r="W15" s="562">
        <f t="shared" ref="W15:W17" si="38">+V15</f>
        <v>31329</v>
      </c>
      <c r="X15" s="182">
        <v>31786</v>
      </c>
      <c r="Y15" s="182">
        <v>40025</v>
      </c>
      <c r="Z15" s="182">
        <v>40670</v>
      </c>
      <c r="AA15" s="182">
        <v>39401</v>
      </c>
      <c r="AB15" s="562">
        <f t="shared" ref="AB15:AB17" si="39">+AA15</f>
        <v>39401</v>
      </c>
      <c r="AC15" s="182">
        <v>40823</v>
      </c>
      <c r="AD15" s="182">
        <v>42768</v>
      </c>
      <c r="AE15" s="182">
        <v>51281</v>
      </c>
      <c r="AF15" s="182">
        <v>58557</v>
      </c>
      <c r="AG15" s="562">
        <f t="shared" ref="AG15:AG17" si="40">+AF15</f>
        <v>58557</v>
      </c>
      <c r="AH15" s="182">
        <v>60696</v>
      </c>
      <c r="AI15" s="182">
        <v>64973</v>
      </c>
      <c r="AJ15" s="182">
        <v>64503</v>
      </c>
      <c r="AK15" s="182">
        <v>61442</v>
      </c>
      <c r="AL15" s="562">
        <f t="shared" ref="AL15:AL17" si="41">+AK15</f>
        <v>61442</v>
      </c>
      <c r="AM15" s="182">
        <v>60486</v>
      </c>
      <c r="AN15" s="182">
        <v>59359</v>
      </c>
      <c r="AO15" s="182">
        <v>58705</v>
      </c>
      <c r="AP15" s="182">
        <f>60579</f>
        <v>60579</v>
      </c>
      <c r="AQ15" s="562">
        <f t="shared" ref="AQ15:AQ17" si="42">+AP15</f>
        <v>60579</v>
      </c>
      <c r="AR15" s="182">
        <v>61665</v>
      </c>
      <c r="AS15" s="182">
        <v>63098</v>
      </c>
      <c r="AT15" s="182">
        <f>67574</f>
        <v>67574</v>
      </c>
      <c r="AU15" s="182">
        <f>64850</f>
        <v>64850</v>
      </c>
      <c r="AV15" s="562">
        <f t="shared" si="30"/>
        <v>64850</v>
      </c>
      <c r="AW15" s="182">
        <f>64143</f>
        <v>64143</v>
      </c>
      <c r="AX15" s="182">
        <f>65959</f>
        <v>65959</v>
      </c>
      <c r="AY15" s="182">
        <f>63257</f>
        <v>63257</v>
      </c>
      <c r="AZ15" s="182">
        <f>61854</f>
        <v>61854</v>
      </c>
      <c r="BA15" s="562">
        <f t="shared" ref="BA15:BA17" si="43">+AZ15</f>
        <v>61854</v>
      </c>
      <c r="BB15" s="182">
        <f>63377</f>
        <v>63377</v>
      </c>
      <c r="BC15" s="182">
        <f>57830</f>
        <v>57830</v>
      </c>
      <c r="BD15" s="182">
        <f>53935</f>
        <v>53935</v>
      </c>
      <c r="BE15" s="182">
        <f>47428</f>
        <v>47428</v>
      </c>
      <c r="BF15" s="562">
        <f t="shared" ref="BF15:BF17" si="44">+BE15</f>
        <v>47428</v>
      </c>
      <c r="BG15" s="182">
        <f>45161</f>
        <v>45161</v>
      </c>
      <c r="BH15" s="182">
        <f>40350</f>
        <v>40350</v>
      </c>
      <c r="BI15" s="182">
        <f>36160</f>
        <v>36160</v>
      </c>
      <c r="BJ15" s="182">
        <f>32599</f>
        <v>32599</v>
      </c>
      <c r="BK15" s="562">
        <f t="shared" ref="BK15:BK17" si="45">+BJ15</f>
        <v>32599</v>
      </c>
      <c r="BL15" s="182">
        <f>30191</f>
        <v>30191</v>
      </c>
      <c r="BM15" s="182">
        <f>27758</f>
        <v>27758</v>
      </c>
      <c r="BN15" s="182">
        <f>27343</f>
        <v>27343</v>
      </c>
      <c r="BO15" s="182">
        <f>30349</f>
        <v>30349</v>
      </c>
      <c r="BP15" s="562">
        <f t="shared" ref="BP15:BP17" si="46">+BO15</f>
        <v>30349</v>
      </c>
      <c r="BQ15" s="182">
        <f>28250</f>
        <v>28250</v>
      </c>
      <c r="BR15" s="182">
        <f>26162</f>
        <v>26162</v>
      </c>
      <c r="BS15" s="182">
        <f>24792</f>
        <v>24792</v>
      </c>
      <c r="BT15" s="182">
        <f>23166</f>
        <v>23166</v>
      </c>
      <c r="BU15" s="562">
        <f t="shared" ref="BU15:BU17" si="47">+BT15</f>
        <v>23166</v>
      </c>
      <c r="BV15" s="182">
        <f t="shared" ref="BV15:BY15" si="48">+BV90</f>
        <v>21599.494564999997</v>
      </c>
      <c r="BW15" s="182">
        <f t="shared" si="48"/>
        <v>21017.37478025</v>
      </c>
      <c r="BX15" s="182">
        <f t="shared" si="48"/>
        <v>21654.984552225</v>
      </c>
      <c r="BY15" s="182">
        <f t="shared" si="48"/>
        <v>22302.762197002499</v>
      </c>
      <c r="BZ15" s="562">
        <f t="shared" ref="BZ15:BZ17" si="49">+BY15</f>
        <v>22302.762197002499</v>
      </c>
      <c r="CA15" s="182">
        <f t="shared" ref="CA15:CD15" si="50">+CA90</f>
        <v>20831.044349452124</v>
      </c>
      <c r="CB15" s="182">
        <f t="shared" si="50"/>
        <v>19602.288169034306</v>
      </c>
      <c r="CC15" s="182">
        <f t="shared" si="50"/>
        <v>19185.818978750191</v>
      </c>
      <c r="CD15" s="182">
        <f t="shared" si="50"/>
        <v>18871.569145300167</v>
      </c>
      <c r="CE15" s="562">
        <f t="shared" ref="CE15:CE17" si="51">+CD15</f>
        <v>18871.569145300167</v>
      </c>
    </row>
    <row r="16" spans="2:83" ht="13.35" customHeight="1">
      <c r="B16" s="166" t="s">
        <v>388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562"/>
      <c r="S16" s="182"/>
      <c r="T16" s="182"/>
      <c r="U16" s="182"/>
      <c r="V16" s="182"/>
      <c r="W16" s="562"/>
      <c r="X16" s="182"/>
      <c r="Y16" s="182"/>
      <c r="Z16" s="182"/>
      <c r="AA16" s="182"/>
      <c r="AB16" s="562"/>
      <c r="AC16" s="182"/>
      <c r="AD16" s="182"/>
      <c r="AE16" s="182"/>
      <c r="AF16" s="182"/>
      <c r="AG16" s="562"/>
      <c r="AH16" s="182"/>
      <c r="AI16" s="182"/>
      <c r="AJ16" s="182"/>
      <c r="AK16" s="182"/>
      <c r="AL16" s="562"/>
      <c r="AM16" s="182">
        <f>29604</f>
        <v>29604</v>
      </c>
      <c r="AN16" s="182">
        <v>28101</v>
      </c>
      <c r="AO16" s="182">
        <v>27043</v>
      </c>
      <c r="AP16" s="182">
        <f>40551</f>
        <v>40551</v>
      </c>
      <c r="AQ16" s="562">
        <f t="shared" si="42"/>
        <v>40551</v>
      </c>
      <c r="AR16" s="182">
        <v>38760</v>
      </c>
      <c r="AS16" s="182">
        <v>42930</v>
      </c>
      <c r="AT16" s="182">
        <f>47985</f>
        <v>47985</v>
      </c>
      <c r="AU16" s="182">
        <f>44838</f>
        <v>44838</v>
      </c>
      <c r="AV16" s="562">
        <f t="shared" si="30"/>
        <v>44838</v>
      </c>
      <c r="AW16" s="182">
        <f>42113</f>
        <v>42113</v>
      </c>
      <c r="AX16" s="182">
        <f>40403</f>
        <v>40403</v>
      </c>
      <c r="AY16" s="182">
        <f>37795</f>
        <v>37795</v>
      </c>
      <c r="AZ16" s="182">
        <f>37016</f>
        <v>37016</v>
      </c>
      <c r="BA16" s="562">
        <f t="shared" si="43"/>
        <v>37016</v>
      </c>
      <c r="BB16" s="182">
        <f>34569</f>
        <v>34569</v>
      </c>
      <c r="BC16" s="182">
        <f>33451</f>
        <v>33451</v>
      </c>
      <c r="BD16" s="182">
        <f>31454</f>
        <v>31454</v>
      </c>
      <c r="BE16" s="182">
        <f>33752</f>
        <v>33752</v>
      </c>
      <c r="BF16" s="562">
        <f t="shared" si="44"/>
        <v>33752</v>
      </c>
      <c r="BG16" s="182">
        <f>30737</f>
        <v>30737</v>
      </c>
      <c r="BH16" s="182">
        <f>27992</f>
        <v>27992</v>
      </c>
      <c r="BI16" s="182">
        <f>25211</f>
        <v>25211</v>
      </c>
      <c r="BJ16" s="182">
        <f>22391</f>
        <v>22391</v>
      </c>
      <c r="BK16" s="562">
        <f t="shared" si="45"/>
        <v>22391</v>
      </c>
      <c r="BL16" s="182">
        <f>31371</f>
        <v>31371</v>
      </c>
      <c r="BM16" s="182">
        <f>44100</f>
        <v>44100</v>
      </c>
      <c r="BN16" s="182">
        <f>41294</f>
        <v>41294</v>
      </c>
      <c r="BO16" s="182">
        <f>40968</f>
        <v>40968</v>
      </c>
      <c r="BP16" s="562">
        <f t="shared" si="46"/>
        <v>40968</v>
      </c>
      <c r="BQ16" s="182">
        <f>41329</f>
        <v>41329</v>
      </c>
      <c r="BR16" s="182">
        <f>48678</f>
        <v>48678</v>
      </c>
      <c r="BS16" s="182">
        <f>47959</f>
        <v>47959</v>
      </c>
      <c r="BT16" s="182">
        <f>46001</f>
        <v>46001</v>
      </c>
      <c r="BU16" s="562">
        <f t="shared" si="47"/>
        <v>46001</v>
      </c>
      <c r="BV16" s="182">
        <f t="shared" ref="BV16" si="52">+BU16-1500</f>
        <v>44501</v>
      </c>
      <c r="BW16" s="182">
        <f t="shared" ref="BW16" si="53">+BV16-1500</f>
        <v>43001</v>
      </c>
      <c r="BX16" s="182">
        <f t="shared" ref="BX16" si="54">+BW16-1500</f>
        <v>41501</v>
      </c>
      <c r="BY16" s="182">
        <f t="shared" ref="BY16" si="55">+BX16-1500</f>
        <v>40001</v>
      </c>
      <c r="BZ16" s="562">
        <f t="shared" si="49"/>
        <v>40001</v>
      </c>
      <c r="CA16" s="182">
        <f t="shared" ref="CA16" si="56">+BZ16-1500</f>
        <v>38501</v>
      </c>
      <c r="CB16" s="182">
        <f t="shared" ref="CB16" si="57">+CA16-1500</f>
        <v>37001</v>
      </c>
      <c r="CC16" s="182">
        <f t="shared" ref="CC16" si="58">+CB16-1500</f>
        <v>35501</v>
      </c>
      <c r="CD16" s="182">
        <f t="shared" ref="CD16" si="59">+CC16-1500</f>
        <v>34001</v>
      </c>
      <c r="CE16" s="562">
        <f t="shared" si="51"/>
        <v>34001</v>
      </c>
    </row>
    <row r="17" spans="2:83" ht="13.35" customHeight="1">
      <c r="B17" s="166" t="s">
        <v>350</v>
      </c>
      <c r="C17" s="182"/>
      <c r="D17" s="182"/>
      <c r="E17" s="182"/>
      <c r="F17" s="182"/>
      <c r="G17" s="182">
        <v>0</v>
      </c>
      <c r="H17" s="182">
        <f t="shared" si="35"/>
        <v>0</v>
      </c>
      <c r="I17" s="182"/>
      <c r="J17" s="182"/>
      <c r="K17" s="182"/>
      <c r="L17" s="182">
        <v>72</v>
      </c>
      <c r="M17" s="182">
        <f t="shared" si="36"/>
        <v>72</v>
      </c>
      <c r="N17" s="182">
        <v>0</v>
      </c>
      <c r="O17" s="182">
        <v>0</v>
      </c>
      <c r="P17" s="182">
        <v>0</v>
      </c>
      <c r="Q17" s="182">
        <v>22639</v>
      </c>
      <c r="R17" s="562">
        <f t="shared" si="37"/>
        <v>22639</v>
      </c>
      <c r="S17" s="182">
        <v>14415</v>
      </c>
      <c r="T17" s="182">
        <v>14035</v>
      </c>
      <c r="U17" s="182">
        <v>13180</v>
      </c>
      <c r="V17" s="182">
        <v>16079</v>
      </c>
      <c r="W17" s="562">
        <f t="shared" si="38"/>
        <v>16079</v>
      </c>
      <c r="X17" s="182">
        <v>17165</v>
      </c>
      <c r="Y17" s="182">
        <v>16123.000000000002</v>
      </c>
      <c r="Z17" s="182">
        <v>15141</v>
      </c>
      <c r="AA17" s="182">
        <v>16590</v>
      </c>
      <c r="AB17" s="562">
        <f t="shared" si="39"/>
        <v>16590</v>
      </c>
      <c r="AC17" s="182">
        <v>37279</v>
      </c>
      <c r="AD17" s="182">
        <v>35622</v>
      </c>
      <c r="AE17" s="182">
        <v>32359</v>
      </c>
      <c r="AF17" s="182">
        <v>25066</v>
      </c>
      <c r="AG17" s="562">
        <f t="shared" si="40"/>
        <v>25066</v>
      </c>
      <c r="AH17" s="182">
        <v>24085</v>
      </c>
      <c r="AI17" s="182">
        <v>23570</v>
      </c>
      <c r="AJ17" s="182">
        <v>28248</v>
      </c>
      <c r="AK17" s="182">
        <v>26387</v>
      </c>
      <c r="AL17" s="562">
        <f t="shared" si="41"/>
        <v>26387</v>
      </c>
      <c r="AM17" s="182">
        <v>24653</v>
      </c>
      <c r="AN17" s="182">
        <v>22976</v>
      </c>
      <c r="AO17" s="182">
        <v>18302</v>
      </c>
      <c r="AP17" s="182">
        <f>18830</f>
        <v>18830</v>
      </c>
      <c r="AQ17" s="562">
        <f t="shared" si="42"/>
        <v>18830</v>
      </c>
      <c r="AR17" s="182">
        <v>16930</v>
      </c>
      <c r="AS17" s="182">
        <v>16971</v>
      </c>
      <c r="AT17" s="182">
        <f>13581</f>
        <v>13581</v>
      </c>
      <c r="AU17" s="182">
        <f>15811</f>
        <v>15811</v>
      </c>
      <c r="AV17" s="562">
        <f t="shared" si="30"/>
        <v>15811</v>
      </c>
      <c r="AW17" s="182">
        <f>20786</f>
        <v>20786</v>
      </c>
      <c r="AX17" s="182">
        <f>16469</f>
        <v>16469</v>
      </c>
      <c r="AY17" s="182">
        <f>31367</f>
        <v>31367</v>
      </c>
      <c r="AZ17" s="182">
        <f>25087</f>
        <v>25087</v>
      </c>
      <c r="BA17" s="562">
        <f t="shared" si="43"/>
        <v>25087</v>
      </c>
      <c r="BB17" s="182">
        <f>29986</f>
        <v>29986</v>
      </c>
      <c r="BC17" s="182">
        <f>35426</f>
        <v>35426</v>
      </c>
      <c r="BD17" s="182">
        <f>39802</f>
        <v>39802</v>
      </c>
      <c r="BE17" s="182">
        <f>45412</f>
        <v>45412</v>
      </c>
      <c r="BF17" s="562">
        <f t="shared" si="44"/>
        <v>45412</v>
      </c>
      <c r="BG17" s="182">
        <f>49865</f>
        <v>49865</v>
      </c>
      <c r="BH17" s="182">
        <f>54891</f>
        <v>54891</v>
      </c>
      <c r="BI17" s="182">
        <f>57171</f>
        <v>57171</v>
      </c>
      <c r="BJ17" s="182">
        <f>62761</f>
        <v>62761</v>
      </c>
      <c r="BK17" s="562">
        <f t="shared" si="45"/>
        <v>62761</v>
      </c>
      <c r="BL17" s="182">
        <f>66565</f>
        <v>66565</v>
      </c>
      <c r="BM17" s="182">
        <f>70433</f>
        <v>70433</v>
      </c>
      <c r="BN17" s="182">
        <f>77730</f>
        <v>77730</v>
      </c>
      <c r="BO17" s="182">
        <f>81307</f>
        <v>81307</v>
      </c>
      <c r="BP17" s="562">
        <f t="shared" si="46"/>
        <v>81307</v>
      </c>
      <c r="BQ17" s="182">
        <f>86059</f>
        <v>86059</v>
      </c>
      <c r="BR17" s="182">
        <f>91551</f>
        <v>91551</v>
      </c>
      <c r="BS17" s="182">
        <f>76258</f>
        <v>76258</v>
      </c>
      <c r="BT17" s="182">
        <f>74518</f>
        <v>74518</v>
      </c>
      <c r="BU17" s="562">
        <f t="shared" si="47"/>
        <v>74518</v>
      </c>
      <c r="BV17" s="182">
        <f>+BT17</f>
        <v>74518</v>
      </c>
      <c r="BW17" s="182">
        <f>+BV17</f>
        <v>74518</v>
      </c>
      <c r="BX17" s="182">
        <f t="shared" ref="BX17" si="60">+BW17</f>
        <v>74518</v>
      </c>
      <c r="BY17" s="182">
        <f t="shared" ref="BY17" si="61">+BX17</f>
        <v>74518</v>
      </c>
      <c r="BZ17" s="562">
        <f t="shared" si="49"/>
        <v>74518</v>
      </c>
      <c r="CA17" s="182">
        <f>+BY17</f>
        <v>74518</v>
      </c>
      <c r="CB17" s="182">
        <f>+CA17</f>
        <v>74518</v>
      </c>
      <c r="CC17" s="182">
        <f t="shared" ref="CC17" si="62">+CB17</f>
        <v>74518</v>
      </c>
      <c r="CD17" s="182">
        <f t="shared" ref="CD17" si="63">+CC17</f>
        <v>74518</v>
      </c>
      <c r="CE17" s="562">
        <f t="shared" si="51"/>
        <v>74518</v>
      </c>
    </row>
    <row r="18" spans="2:83" ht="13.35" customHeight="1">
      <c r="B18" s="166" t="s">
        <v>124</v>
      </c>
      <c r="C18" s="182"/>
      <c r="D18" s="182"/>
      <c r="E18" s="182"/>
      <c r="F18" s="182"/>
      <c r="G18" s="182">
        <v>2811</v>
      </c>
      <c r="H18" s="182">
        <f>+G18</f>
        <v>2811</v>
      </c>
      <c r="I18" s="182"/>
      <c r="J18" s="182"/>
      <c r="K18" s="182"/>
      <c r="L18" s="182">
        <v>2394</v>
      </c>
      <c r="M18" s="182">
        <f>+L18</f>
        <v>2394</v>
      </c>
      <c r="N18" s="182">
        <v>2296</v>
      </c>
      <c r="O18" s="182">
        <v>2198</v>
      </c>
      <c r="P18" s="182">
        <v>2099</v>
      </c>
      <c r="Q18" s="182">
        <v>2001</v>
      </c>
      <c r="R18" s="562">
        <f>+Q18</f>
        <v>2001</v>
      </c>
      <c r="S18" s="182">
        <v>1903</v>
      </c>
      <c r="T18" s="182">
        <v>1805</v>
      </c>
      <c r="U18" s="182">
        <v>1708</v>
      </c>
      <c r="V18" s="182">
        <v>1360</v>
      </c>
      <c r="W18" s="562">
        <f>+V18</f>
        <v>1360</v>
      </c>
      <c r="X18" s="182">
        <v>1267</v>
      </c>
      <c r="Y18" s="182">
        <v>1174</v>
      </c>
      <c r="Z18" s="182">
        <v>1080</v>
      </c>
      <c r="AA18" s="182">
        <v>987</v>
      </c>
      <c r="AB18" s="562">
        <f>+AA18</f>
        <v>987</v>
      </c>
      <c r="AC18" s="182">
        <v>894</v>
      </c>
      <c r="AD18" s="182">
        <v>801</v>
      </c>
      <c r="AE18" s="182">
        <v>5801</v>
      </c>
      <c r="AF18" s="182">
        <v>12401</v>
      </c>
      <c r="AG18" s="562">
        <f>+AF18</f>
        <v>12401</v>
      </c>
      <c r="AH18" s="182">
        <v>11769</v>
      </c>
      <c r="AI18" s="182">
        <v>14605</v>
      </c>
      <c r="AJ18" s="182">
        <v>13741</v>
      </c>
      <c r="AK18" s="182">
        <v>21976</v>
      </c>
      <c r="AL18" s="562">
        <f>+AK18</f>
        <v>21976</v>
      </c>
      <c r="AM18" s="182">
        <v>21356</v>
      </c>
      <c r="AN18" s="182">
        <v>19836</v>
      </c>
      <c r="AO18" s="182">
        <v>18316</v>
      </c>
      <c r="AP18" s="182">
        <f>16795</f>
        <v>16795</v>
      </c>
      <c r="AQ18" s="562">
        <f>+AP18</f>
        <v>16795</v>
      </c>
      <c r="AR18" s="182">
        <v>15275</v>
      </c>
      <c r="AS18" s="182">
        <v>13755</v>
      </c>
      <c r="AT18" s="182">
        <f>13651</f>
        <v>13651</v>
      </c>
      <c r="AU18" s="182">
        <f>12006</f>
        <v>12006</v>
      </c>
      <c r="AV18" s="562">
        <f>AU18</f>
        <v>12006</v>
      </c>
      <c r="AW18" s="182">
        <f>10361</f>
        <v>10361</v>
      </c>
      <c r="AX18" s="182">
        <f>8715</f>
        <v>8715</v>
      </c>
      <c r="AY18" s="182">
        <f>8250</f>
        <v>8250</v>
      </c>
      <c r="AZ18" s="182">
        <f>6545</f>
        <v>6545</v>
      </c>
      <c r="BA18" s="562">
        <f>+AZ18</f>
        <v>6545</v>
      </c>
      <c r="BB18" s="182">
        <f>4839</f>
        <v>4839</v>
      </c>
      <c r="BC18" s="182">
        <f>3365</f>
        <v>3365</v>
      </c>
      <c r="BD18" s="182">
        <f>2019</f>
        <v>2019</v>
      </c>
      <c r="BE18" s="182">
        <f>12801</f>
        <v>12801</v>
      </c>
      <c r="BF18" s="562">
        <f>+BE18</f>
        <v>12801</v>
      </c>
      <c r="BG18" s="182">
        <f>12030</f>
        <v>12030</v>
      </c>
      <c r="BH18" s="182">
        <f>11258</f>
        <v>11258</v>
      </c>
      <c r="BI18" s="182">
        <f>10486</f>
        <v>10486</v>
      </c>
      <c r="BJ18" s="182">
        <f>9715</f>
        <v>9715</v>
      </c>
      <c r="BK18" s="562">
        <f>+BJ18</f>
        <v>9715</v>
      </c>
      <c r="BL18" s="182">
        <f>8943</f>
        <v>8943</v>
      </c>
      <c r="BM18" s="182">
        <f>8172</f>
        <v>8172</v>
      </c>
      <c r="BN18" s="182">
        <f>7451</f>
        <v>7451</v>
      </c>
      <c r="BO18" s="182">
        <f>6812</f>
        <v>6812</v>
      </c>
      <c r="BP18" s="562">
        <f>+BO18</f>
        <v>6812</v>
      </c>
      <c r="BQ18" s="182">
        <f>6172</f>
        <v>6172</v>
      </c>
      <c r="BR18" s="182">
        <f>5533</f>
        <v>5533</v>
      </c>
      <c r="BS18" s="182">
        <f>4894</f>
        <v>4894</v>
      </c>
      <c r="BT18" s="182">
        <f>4255</f>
        <v>4255</v>
      </c>
      <c r="BU18" s="562">
        <f>+BT18</f>
        <v>4255</v>
      </c>
      <c r="BV18" s="182">
        <f>+BV100</f>
        <v>3616.75</v>
      </c>
      <c r="BW18" s="182">
        <f>+BW100</f>
        <v>3074.2375000000002</v>
      </c>
      <c r="BX18" s="182">
        <f>+BX100</f>
        <v>2613.1018750000003</v>
      </c>
      <c r="BY18" s="182">
        <f>+BY100</f>
        <v>2221.1365937500004</v>
      </c>
      <c r="BZ18" s="562">
        <f>+BY18</f>
        <v>2221.1365937500004</v>
      </c>
      <c r="CA18" s="182">
        <f>+CA100</f>
        <v>1776.9092750000004</v>
      </c>
      <c r="CB18" s="182">
        <f>+CB100</f>
        <v>1421.5274200000003</v>
      </c>
      <c r="CC18" s="182">
        <f>+CC100</f>
        <v>1137.2219360000004</v>
      </c>
      <c r="CD18" s="182">
        <f>+CD100</f>
        <v>909.77754880000032</v>
      </c>
      <c r="CE18" s="562">
        <f>+CD18</f>
        <v>909.77754880000032</v>
      </c>
    </row>
    <row r="19" spans="2:83" ht="13.35" customHeight="1">
      <c r="B19" s="166" t="s">
        <v>159</v>
      </c>
      <c r="C19" s="182"/>
      <c r="D19" s="182"/>
      <c r="E19" s="182"/>
      <c r="F19" s="182"/>
      <c r="G19" s="182">
        <v>317</v>
      </c>
      <c r="H19" s="182">
        <f>+G19</f>
        <v>317</v>
      </c>
      <c r="I19" s="182"/>
      <c r="J19" s="182"/>
      <c r="K19" s="182"/>
      <c r="L19" s="182">
        <v>317</v>
      </c>
      <c r="M19" s="182">
        <f>+L19</f>
        <v>317</v>
      </c>
      <c r="N19" s="182">
        <v>317</v>
      </c>
      <c r="O19" s="182">
        <v>317</v>
      </c>
      <c r="P19" s="182">
        <v>317</v>
      </c>
      <c r="Q19" s="182">
        <v>317</v>
      </c>
      <c r="R19" s="562">
        <f>+Q19</f>
        <v>317</v>
      </c>
      <c r="S19" s="182">
        <v>317</v>
      </c>
      <c r="T19" s="182">
        <v>317</v>
      </c>
      <c r="U19" s="182">
        <v>317</v>
      </c>
      <c r="V19" s="182">
        <v>317</v>
      </c>
      <c r="W19" s="562">
        <f>+V19</f>
        <v>317</v>
      </c>
      <c r="X19" s="182">
        <v>317</v>
      </c>
      <c r="Y19" s="182">
        <v>317</v>
      </c>
      <c r="Z19" s="182">
        <v>317</v>
      </c>
      <c r="AA19" s="182">
        <v>317</v>
      </c>
      <c r="AB19" s="562">
        <f>+AA19</f>
        <v>317</v>
      </c>
      <c r="AC19" s="182">
        <v>317</v>
      </c>
      <c r="AD19" s="182">
        <v>317</v>
      </c>
      <c r="AE19" s="182">
        <v>900</v>
      </c>
      <c r="AF19" s="182">
        <v>1549</v>
      </c>
      <c r="AG19" s="562">
        <f>+AF19</f>
        <v>1549</v>
      </c>
      <c r="AH19" s="182">
        <v>1549</v>
      </c>
      <c r="AI19" s="182">
        <v>1849</v>
      </c>
      <c r="AJ19" s="182">
        <v>1849</v>
      </c>
      <c r="AK19" s="182">
        <v>7225</v>
      </c>
      <c r="AL19" s="562">
        <f>+AK19</f>
        <v>7225</v>
      </c>
      <c r="AM19" s="182">
        <v>7325</v>
      </c>
      <c r="AN19" s="182">
        <v>7325</v>
      </c>
      <c r="AO19" s="182">
        <v>7447</v>
      </c>
      <c r="AP19" s="182">
        <f>7447</f>
        <v>7447</v>
      </c>
      <c r="AQ19" s="562">
        <f>+AP19</f>
        <v>7447</v>
      </c>
      <c r="AR19" s="182">
        <v>7447</v>
      </c>
      <c r="AS19" s="182">
        <v>7447</v>
      </c>
      <c r="AT19" s="182">
        <f>7447</f>
        <v>7447</v>
      </c>
      <c r="AU19" s="182">
        <f>7447</f>
        <v>7447</v>
      </c>
      <c r="AV19" s="562">
        <f>AU19</f>
        <v>7447</v>
      </c>
      <c r="AW19" s="182">
        <f>7447</f>
        <v>7447</v>
      </c>
      <c r="AX19" s="182">
        <f>7447</f>
        <v>7447</v>
      </c>
      <c r="AY19" s="182">
        <f>7447</f>
        <v>7447</v>
      </c>
      <c r="AZ19" s="182">
        <f>7447</f>
        <v>7447</v>
      </c>
      <c r="BA19" s="562">
        <f>+AZ19</f>
        <v>7447</v>
      </c>
      <c r="BB19" s="182">
        <f>7447</f>
        <v>7447</v>
      </c>
      <c r="BC19" s="182">
        <f>7447</f>
        <v>7447</v>
      </c>
      <c r="BD19" s="182">
        <f>7447</f>
        <v>7447</v>
      </c>
      <c r="BE19" s="182">
        <f>7447</f>
        <v>7447</v>
      </c>
      <c r="BF19" s="562">
        <f>+BE19</f>
        <v>7447</v>
      </c>
      <c r="BG19" s="182">
        <f>7447</f>
        <v>7447</v>
      </c>
      <c r="BH19" s="182">
        <f>7447</f>
        <v>7447</v>
      </c>
      <c r="BI19" s="182">
        <f>7447</f>
        <v>7447</v>
      </c>
      <c r="BJ19" s="182">
        <f>7447</f>
        <v>7447</v>
      </c>
      <c r="BK19" s="562">
        <f>+BJ19</f>
        <v>7447</v>
      </c>
      <c r="BL19" s="182">
        <f>7447</f>
        <v>7447</v>
      </c>
      <c r="BM19" s="182">
        <f>7447</f>
        <v>7447</v>
      </c>
      <c r="BN19" s="182">
        <f>7447</f>
        <v>7447</v>
      </c>
      <c r="BO19" s="182">
        <f>7447</f>
        <v>7447</v>
      </c>
      <c r="BP19" s="562">
        <f>+BO19</f>
        <v>7447</v>
      </c>
      <c r="BQ19" s="182">
        <f>7447</f>
        <v>7447</v>
      </c>
      <c r="BR19" s="182">
        <f>7447</f>
        <v>7447</v>
      </c>
      <c r="BS19" s="182">
        <f>7447</f>
        <v>7447</v>
      </c>
      <c r="BT19" s="182">
        <f>7447</f>
        <v>7447</v>
      </c>
      <c r="BU19" s="562">
        <f>+BT19</f>
        <v>7447</v>
      </c>
      <c r="BV19" s="182">
        <f>+BT19</f>
        <v>7447</v>
      </c>
      <c r="BW19" s="182">
        <f>+BV19</f>
        <v>7447</v>
      </c>
      <c r="BX19" s="182">
        <f t="shared" ref="BX19" si="64">+BW19</f>
        <v>7447</v>
      </c>
      <c r="BY19" s="182">
        <f t="shared" ref="BY19" si="65">+BX19</f>
        <v>7447</v>
      </c>
      <c r="BZ19" s="562">
        <f>+BY19</f>
        <v>7447</v>
      </c>
      <c r="CA19" s="182">
        <f>+BY19</f>
        <v>7447</v>
      </c>
      <c r="CB19" s="182">
        <f>+CA19</f>
        <v>7447</v>
      </c>
      <c r="CC19" s="182">
        <f t="shared" ref="CC19" si="66">+CB19</f>
        <v>7447</v>
      </c>
      <c r="CD19" s="182">
        <f t="shared" ref="CD19" si="67">+CC19</f>
        <v>7447</v>
      </c>
      <c r="CE19" s="562">
        <f>+CD19</f>
        <v>7447</v>
      </c>
    </row>
    <row r="20" spans="2:83" ht="13.35" customHeight="1">
      <c r="B20" s="166" t="s">
        <v>235</v>
      </c>
      <c r="C20" s="182"/>
      <c r="D20" s="182"/>
      <c r="E20" s="182"/>
      <c r="F20" s="182"/>
      <c r="G20" s="182">
        <v>114</v>
      </c>
      <c r="H20" s="182">
        <f>+G20</f>
        <v>114</v>
      </c>
      <c r="I20" s="182"/>
      <c r="J20" s="182"/>
      <c r="K20" s="182"/>
      <c r="L20" s="182">
        <v>0</v>
      </c>
      <c r="M20" s="182">
        <f>+L20</f>
        <v>0</v>
      </c>
      <c r="N20" s="182">
        <v>0</v>
      </c>
      <c r="O20" s="182">
        <v>0</v>
      </c>
      <c r="P20" s="182">
        <v>0</v>
      </c>
      <c r="Q20" s="182">
        <v>0</v>
      </c>
      <c r="R20" s="562">
        <f>+Q20</f>
        <v>0</v>
      </c>
      <c r="S20" s="182">
        <v>0</v>
      </c>
      <c r="T20" s="182">
        <v>0</v>
      </c>
      <c r="U20" s="182">
        <v>0</v>
      </c>
      <c r="V20" s="182">
        <v>0</v>
      </c>
      <c r="W20" s="562">
        <f>+V20</f>
        <v>0</v>
      </c>
      <c r="X20" s="182">
        <v>0</v>
      </c>
      <c r="Y20" s="182">
        <v>0</v>
      </c>
      <c r="Z20" s="182">
        <v>0</v>
      </c>
      <c r="AA20" s="182">
        <v>1200</v>
      </c>
      <c r="AB20" s="562">
        <f>+AA20</f>
        <v>1200</v>
      </c>
      <c r="AC20" s="182">
        <v>1200</v>
      </c>
      <c r="AD20" s="182">
        <v>1200</v>
      </c>
      <c r="AE20" s="182">
        <v>1200</v>
      </c>
      <c r="AF20" s="182">
        <v>1200</v>
      </c>
      <c r="AG20" s="562">
        <f>+AF20</f>
        <v>1200</v>
      </c>
      <c r="AH20" s="182">
        <v>1200</v>
      </c>
      <c r="AI20" s="182">
        <v>1200</v>
      </c>
      <c r="AJ20" s="182">
        <v>1200</v>
      </c>
      <c r="AK20" s="182">
        <v>1200</v>
      </c>
      <c r="AL20" s="562">
        <f>+AK20</f>
        <v>1200</v>
      </c>
      <c r="AM20" s="182">
        <v>1200</v>
      </c>
      <c r="AN20" s="182">
        <v>1200</v>
      </c>
      <c r="AO20" s="182">
        <v>1200</v>
      </c>
      <c r="AP20" s="182">
        <f>1200</f>
        <v>1200</v>
      </c>
      <c r="AQ20" s="562">
        <f>+AP20</f>
        <v>1200</v>
      </c>
      <c r="AR20" s="182">
        <v>1200</v>
      </c>
      <c r="AS20" s="182">
        <v>1200</v>
      </c>
      <c r="AT20" s="182">
        <f>1200</f>
        <v>1200</v>
      </c>
      <c r="AU20" s="182">
        <f>1200</f>
        <v>1200</v>
      </c>
      <c r="AV20" s="562">
        <f>AU20</f>
        <v>1200</v>
      </c>
      <c r="AW20" s="182">
        <f>1200</f>
        <v>1200</v>
      </c>
      <c r="AX20" s="182">
        <f>1200</f>
        <v>1200</v>
      </c>
      <c r="AY20" s="182">
        <f>1200</f>
        <v>1200</v>
      </c>
      <c r="AZ20" s="182">
        <f>1200</f>
        <v>1200</v>
      </c>
      <c r="BA20" s="562">
        <f>+AZ20</f>
        <v>1200</v>
      </c>
      <c r="BB20" s="182">
        <f>1200</f>
        <v>1200</v>
      </c>
      <c r="BC20" s="182">
        <f>1200</f>
        <v>1200</v>
      </c>
      <c r="BD20" s="182">
        <f>1200</f>
        <v>1200</v>
      </c>
      <c r="BE20" s="182">
        <f>2700</f>
        <v>2700</v>
      </c>
      <c r="BF20" s="562">
        <f>+BE20</f>
        <v>2700</v>
      </c>
      <c r="BG20" s="182">
        <f>2700</f>
        <v>2700</v>
      </c>
      <c r="BH20" s="182">
        <f>2700</f>
        <v>2700</v>
      </c>
      <c r="BI20" s="182">
        <f>1200+1500</f>
        <v>2700</v>
      </c>
      <c r="BJ20" s="182">
        <f>1200+1500</f>
        <v>2700</v>
      </c>
      <c r="BK20" s="562">
        <f>+BJ20</f>
        <v>2700</v>
      </c>
      <c r="BL20" s="182">
        <f>1200</f>
        <v>1200</v>
      </c>
      <c r="BM20" s="182">
        <f>1200</f>
        <v>1200</v>
      </c>
      <c r="BN20" s="182">
        <f>1200</f>
        <v>1200</v>
      </c>
      <c r="BO20" s="182">
        <f>1200</f>
        <v>1200</v>
      </c>
      <c r="BP20" s="562">
        <f>+BO20</f>
        <v>1200</v>
      </c>
      <c r="BQ20" s="182">
        <f>1200</f>
        <v>1200</v>
      </c>
      <c r="BR20" s="182">
        <f>1200</f>
        <v>1200</v>
      </c>
      <c r="BS20" s="182">
        <f>1200</f>
        <v>1200</v>
      </c>
      <c r="BT20" s="182">
        <f>1200</f>
        <v>1200</v>
      </c>
      <c r="BU20" s="562">
        <f>+BT20</f>
        <v>1200</v>
      </c>
      <c r="BV20" s="182">
        <f>+BT20</f>
        <v>1200</v>
      </c>
      <c r="BW20" s="182">
        <f>+BV20</f>
        <v>1200</v>
      </c>
      <c r="BX20" s="182">
        <f>+BW20</f>
        <v>1200</v>
      </c>
      <c r="BY20" s="182">
        <f>+BX20</f>
        <v>1200</v>
      </c>
      <c r="BZ20" s="562">
        <f>+BY20</f>
        <v>1200</v>
      </c>
      <c r="CA20" s="182">
        <f>+BY20</f>
        <v>1200</v>
      </c>
      <c r="CB20" s="182">
        <f>+CA20</f>
        <v>1200</v>
      </c>
      <c r="CC20" s="182">
        <f>+CB20</f>
        <v>1200</v>
      </c>
      <c r="CD20" s="182">
        <f>+CC20</f>
        <v>1200</v>
      </c>
      <c r="CE20" s="562">
        <f>+CD20</f>
        <v>1200</v>
      </c>
    </row>
    <row r="21" spans="2:83" ht="13.35" customHeight="1">
      <c r="B21" s="166" t="s">
        <v>183</v>
      </c>
      <c r="C21" s="182"/>
      <c r="D21" s="182"/>
      <c r="E21" s="182"/>
      <c r="F21" s="182"/>
      <c r="G21" s="182">
        <v>1574</v>
      </c>
      <c r="H21" s="182">
        <f>+G21</f>
        <v>1574</v>
      </c>
      <c r="I21" s="182"/>
      <c r="J21" s="182"/>
      <c r="K21" s="182"/>
      <c r="L21" s="182">
        <v>681</v>
      </c>
      <c r="M21" s="182">
        <f>+L21</f>
        <v>681</v>
      </c>
      <c r="N21" s="182">
        <v>784</v>
      </c>
      <c r="O21" s="182">
        <v>721</v>
      </c>
      <c r="P21" s="182">
        <v>726</v>
      </c>
      <c r="Q21" s="182">
        <v>2262</v>
      </c>
      <c r="R21" s="562">
        <f>+Q21</f>
        <v>2262</v>
      </c>
      <c r="S21" s="182">
        <v>2254</v>
      </c>
      <c r="T21" s="182">
        <v>2106</v>
      </c>
      <c r="U21" s="182">
        <v>2065</v>
      </c>
      <c r="V21" s="182">
        <v>1916</v>
      </c>
      <c r="W21" s="562">
        <f>+V21</f>
        <v>1916</v>
      </c>
      <c r="X21" s="182">
        <v>1942</v>
      </c>
      <c r="Y21" s="182">
        <v>2276</v>
      </c>
      <c r="Z21" s="182">
        <v>1939</v>
      </c>
      <c r="AA21" s="182">
        <v>2096</v>
      </c>
      <c r="AB21" s="562">
        <f>+AA21</f>
        <v>2096</v>
      </c>
      <c r="AC21" s="182">
        <v>1863</v>
      </c>
      <c r="AD21" s="182">
        <v>1959</v>
      </c>
      <c r="AE21" s="182">
        <v>2048</v>
      </c>
      <c r="AF21" s="182">
        <v>2178</v>
      </c>
      <c r="AG21" s="562">
        <f>+AF21</f>
        <v>2178</v>
      </c>
      <c r="AH21" s="182">
        <v>7061</v>
      </c>
      <c r="AI21" s="182">
        <v>7134</v>
      </c>
      <c r="AJ21" s="182">
        <v>8115</v>
      </c>
      <c r="AK21" s="182">
        <v>9275</v>
      </c>
      <c r="AL21" s="562">
        <f>+AK21</f>
        <v>9275</v>
      </c>
      <c r="AM21" s="182">
        <f>2500+10158</f>
        <v>12658</v>
      </c>
      <c r="AN21" s="182">
        <f>13708</f>
        <v>13708</v>
      </c>
      <c r="AO21" s="182">
        <v>14151</v>
      </c>
      <c r="AP21" s="182">
        <f>15082</f>
        <v>15082</v>
      </c>
      <c r="AQ21" s="562">
        <f>+AP21</f>
        <v>15082</v>
      </c>
      <c r="AR21" s="182">
        <v>15300</v>
      </c>
      <c r="AS21" s="182">
        <v>16024</v>
      </c>
      <c r="AT21" s="182">
        <f>16854</f>
        <v>16854</v>
      </c>
      <c r="AU21" s="182">
        <f>16864</f>
        <v>16864</v>
      </c>
      <c r="AV21" s="562">
        <f>AU21</f>
        <v>16864</v>
      </c>
      <c r="AW21" s="182">
        <f>18362</f>
        <v>18362</v>
      </c>
      <c r="AX21" s="182">
        <f>17980</f>
        <v>17980</v>
      </c>
      <c r="AY21" s="182">
        <f>17887</f>
        <v>17887</v>
      </c>
      <c r="AZ21" s="182">
        <f>17814</f>
        <v>17814</v>
      </c>
      <c r="BA21" s="562">
        <f>+AZ21</f>
        <v>17814</v>
      </c>
      <c r="BB21" s="182">
        <f>17588</f>
        <v>17588</v>
      </c>
      <c r="BC21" s="182">
        <f>18430</f>
        <v>18430</v>
      </c>
      <c r="BD21" s="182">
        <f>18044</f>
        <v>18044</v>
      </c>
      <c r="BE21" s="182">
        <f>18857</f>
        <v>18857</v>
      </c>
      <c r="BF21" s="562">
        <f>+BE21</f>
        <v>18857</v>
      </c>
      <c r="BG21" s="182">
        <f>18478</f>
        <v>18478</v>
      </c>
      <c r="BH21" s="182">
        <f>17927</f>
        <v>17927</v>
      </c>
      <c r="BI21" s="182">
        <f>18360</f>
        <v>18360</v>
      </c>
      <c r="BJ21" s="182">
        <f>19863</f>
        <v>19863</v>
      </c>
      <c r="BK21" s="562">
        <f>+BJ21</f>
        <v>19863</v>
      </c>
      <c r="BL21" s="182">
        <f>20961</f>
        <v>20961</v>
      </c>
      <c r="BM21" s="182">
        <f>21373</f>
        <v>21373</v>
      </c>
      <c r="BN21" s="182">
        <f>22561</f>
        <v>22561</v>
      </c>
      <c r="BO21" s="182">
        <f>25876</f>
        <v>25876</v>
      </c>
      <c r="BP21" s="562">
        <f>+BO21</f>
        <v>25876</v>
      </c>
      <c r="BQ21" s="182">
        <f>25078</f>
        <v>25078</v>
      </c>
      <c r="BR21" s="182">
        <f>24783</f>
        <v>24783</v>
      </c>
      <c r="BS21" s="182">
        <f>27743</f>
        <v>27743</v>
      </c>
      <c r="BT21" s="182">
        <f>30010</f>
        <v>30010</v>
      </c>
      <c r="BU21" s="562">
        <f>+BT21</f>
        <v>30010</v>
      </c>
      <c r="BV21" s="182">
        <f>+BT21</f>
        <v>30010</v>
      </c>
      <c r="BW21" s="182">
        <f>+BV21</f>
        <v>30010</v>
      </c>
      <c r="BX21" s="182">
        <f>+BW21</f>
        <v>30010</v>
      </c>
      <c r="BY21" s="182">
        <f>+BX21</f>
        <v>30010</v>
      </c>
      <c r="BZ21" s="562">
        <f>+BY21</f>
        <v>30010</v>
      </c>
      <c r="CA21" s="182">
        <f>+BY21</f>
        <v>30010</v>
      </c>
      <c r="CB21" s="182">
        <f>+CA21</f>
        <v>30010</v>
      </c>
      <c r="CC21" s="182">
        <f>+CB21</f>
        <v>30010</v>
      </c>
      <c r="CD21" s="182">
        <f>+CC21</f>
        <v>30010</v>
      </c>
      <c r="CE21" s="562">
        <f>+CD21</f>
        <v>30010</v>
      </c>
    </row>
    <row r="22" spans="2:83" ht="4.5" customHeight="1">
      <c r="B22" s="166"/>
      <c r="C22" s="244"/>
      <c r="D22" s="188" t="s">
        <v>0</v>
      </c>
      <c r="E22" s="188" t="s">
        <v>0</v>
      </c>
      <c r="F22" s="188" t="s">
        <v>0</v>
      </c>
      <c r="G22" s="188" t="s">
        <v>0</v>
      </c>
      <c r="H22" s="188" t="s">
        <v>0</v>
      </c>
      <c r="I22" s="188" t="s">
        <v>0</v>
      </c>
      <c r="J22" s="188" t="s">
        <v>0</v>
      </c>
      <c r="K22" s="188" t="s">
        <v>0</v>
      </c>
      <c r="L22" s="188" t="s">
        <v>0</v>
      </c>
      <c r="M22" s="188" t="s">
        <v>0</v>
      </c>
      <c r="N22" s="188" t="s">
        <v>0</v>
      </c>
      <c r="O22" s="188" t="s">
        <v>0</v>
      </c>
      <c r="P22" s="188" t="s">
        <v>0</v>
      </c>
      <c r="Q22" s="188" t="s">
        <v>0</v>
      </c>
      <c r="R22" s="596" t="s">
        <v>0</v>
      </c>
      <c r="S22" s="188" t="s">
        <v>0</v>
      </c>
      <c r="T22" s="188" t="s">
        <v>0</v>
      </c>
      <c r="U22" s="188" t="s">
        <v>0</v>
      </c>
      <c r="V22" s="188" t="s">
        <v>0</v>
      </c>
      <c r="W22" s="596" t="s">
        <v>0</v>
      </c>
      <c r="X22" s="188" t="s">
        <v>0</v>
      </c>
      <c r="Y22" s="188" t="s">
        <v>0</v>
      </c>
      <c r="Z22" s="188" t="s">
        <v>0</v>
      </c>
      <c r="AA22" s="188" t="s">
        <v>0</v>
      </c>
      <c r="AB22" s="596" t="s">
        <v>0</v>
      </c>
      <c r="AC22" s="188" t="s">
        <v>0</v>
      </c>
      <c r="AD22" s="188" t="s">
        <v>0</v>
      </c>
      <c r="AE22" s="188" t="s">
        <v>0</v>
      </c>
      <c r="AF22" s="188" t="s">
        <v>0</v>
      </c>
      <c r="AG22" s="596" t="s">
        <v>0</v>
      </c>
      <c r="AH22" s="188" t="s">
        <v>0</v>
      </c>
      <c r="AI22" s="188" t="s">
        <v>0</v>
      </c>
      <c r="AJ22" s="188" t="s">
        <v>0</v>
      </c>
      <c r="AK22" s="188" t="s">
        <v>0</v>
      </c>
      <c r="AL22" s="596" t="s">
        <v>0</v>
      </c>
      <c r="AM22" s="188" t="s">
        <v>0</v>
      </c>
      <c r="AN22" s="188" t="s">
        <v>0</v>
      </c>
      <c r="AO22" s="188" t="s">
        <v>0</v>
      </c>
      <c r="AP22" s="188" t="s">
        <v>0</v>
      </c>
      <c r="AQ22" s="596" t="s">
        <v>0</v>
      </c>
      <c r="AR22" s="188" t="s">
        <v>0</v>
      </c>
      <c r="AS22" s="188" t="s">
        <v>0</v>
      </c>
      <c r="AT22" s="188" t="s">
        <v>0</v>
      </c>
      <c r="AU22" s="188" t="s">
        <v>0</v>
      </c>
      <c r="AV22" s="596" t="s">
        <v>0</v>
      </c>
      <c r="AW22" s="188" t="s">
        <v>0</v>
      </c>
      <c r="AX22" s="188" t="s">
        <v>0</v>
      </c>
      <c r="AY22" s="188" t="s">
        <v>0</v>
      </c>
      <c r="AZ22" s="188" t="s">
        <v>0</v>
      </c>
      <c r="BA22" s="596" t="s">
        <v>0</v>
      </c>
      <c r="BB22" s="188" t="s">
        <v>0</v>
      </c>
      <c r="BC22" s="188" t="s">
        <v>0</v>
      </c>
      <c r="BD22" s="188" t="s">
        <v>0</v>
      </c>
      <c r="BE22" s="188" t="s">
        <v>0</v>
      </c>
      <c r="BF22" s="596" t="s">
        <v>0</v>
      </c>
      <c r="BG22" s="188" t="s">
        <v>0</v>
      </c>
      <c r="BH22" s="188" t="s">
        <v>0</v>
      </c>
      <c r="BI22" s="188" t="s">
        <v>0</v>
      </c>
      <c r="BJ22" s="188" t="s">
        <v>0</v>
      </c>
      <c r="BK22" s="596" t="s">
        <v>0</v>
      </c>
      <c r="BL22" s="188" t="s">
        <v>0</v>
      </c>
      <c r="BM22" s="188" t="s">
        <v>0</v>
      </c>
      <c r="BN22" s="188" t="s">
        <v>0</v>
      </c>
      <c r="BO22" s="188" t="s">
        <v>0</v>
      </c>
      <c r="BP22" s="596" t="s">
        <v>0</v>
      </c>
      <c r="BQ22" s="188" t="s">
        <v>0</v>
      </c>
      <c r="BR22" s="188" t="s">
        <v>0</v>
      </c>
      <c r="BS22" s="188" t="s">
        <v>0</v>
      </c>
      <c r="BT22" s="188" t="s">
        <v>0</v>
      </c>
      <c r="BU22" s="596" t="s">
        <v>0</v>
      </c>
      <c r="BV22" s="188" t="s">
        <v>0</v>
      </c>
      <c r="BW22" s="188" t="s">
        <v>0</v>
      </c>
      <c r="BX22" s="188" t="s">
        <v>0</v>
      </c>
      <c r="BY22" s="188" t="s">
        <v>0</v>
      </c>
      <c r="BZ22" s="596" t="s">
        <v>0</v>
      </c>
      <c r="CA22" s="188" t="s">
        <v>0</v>
      </c>
      <c r="CB22" s="188" t="s">
        <v>0</v>
      </c>
      <c r="CC22" s="188" t="s">
        <v>0</v>
      </c>
      <c r="CD22" s="188" t="s">
        <v>0</v>
      </c>
      <c r="CE22" s="596" t="s">
        <v>0</v>
      </c>
    </row>
    <row r="23" spans="2:83" ht="13.35" customHeight="1">
      <c r="B23" s="190" t="s">
        <v>100</v>
      </c>
      <c r="C23" s="179"/>
      <c r="D23" s="179">
        <f t="shared" ref="D23:AI23" si="68">SUM(D14:D21)+D12</f>
        <v>0</v>
      </c>
      <c r="E23" s="179">
        <f t="shared" si="68"/>
        <v>0</v>
      </c>
      <c r="F23" s="179">
        <f t="shared" si="68"/>
        <v>0</v>
      </c>
      <c r="G23" s="179">
        <f t="shared" si="68"/>
        <v>170318</v>
      </c>
      <c r="H23" s="179">
        <f t="shared" si="68"/>
        <v>170318</v>
      </c>
      <c r="I23" s="179">
        <f t="shared" si="68"/>
        <v>0</v>
      </c>
      <c r="J23" s="179">
        <f t="shared" si="68"/>
        <v>0</v>
      </c>
      <c r="K23" s="179">
        <f t="shared" si="68"/>
        <v>0</v>
      </c>
      <c r="L23" s="179">
        <f t="shared" si="68"/>
        <v>192603</v>
      </c>
      <c r="M23" s="179">
        <f t="shared" si="68"/>
        <v>192603</v>
      </c>
      <c r="N23" s="179">
        <f t="shared" si="68"/>
        <v>198837</v>
      </c>
      <c r="O23" s="179">
        <f t="shared" si="68"/>
        <v>204572</v>
      </c>
      <c r="P23" s="179">
        <f t="shared" si="68"/>
        <v>215411</v>
      </c>
      <c r="Q23" s="179">
        <f t="shared" si="68"/>
        <v>260024</v>
      </c>
      <c r="R23" s="555">
        <f t="shared" si="68"/>
        <v>260024</v>
      </c>
      <c r="S23" s="179">
        <f t="shared" si="68"/>
        <v>273908</v>
      </c>
      <c r="T23" s="179">
        <f t="shared" si="68"/>
        <v>282045</v>
      </c>
      <c r="U23" s="179">
        <f t="shared" si="68"/>
        <v>298288</v>
      </c>
      <c r="V23" s="179">
        <f t="shared" si="68"/>
        <v>323514</v>
      </c>
      <c r="W23" s="555">
        <f t="shared" si="68"/>
        <v>323514</v>
      </c>
      <c r="X23" s="179">
        <f t="shared" si="68"/>
        <v>342662</v>
      </c>
      <c r="Y23" s="179">
        <f t="shared" si="68"/>
        <v>368851</v>
      </c>
      <c r="Z23" s="179">
        <f t="shared" si="68"/>
        <v>385036</v>
      </c>
      <c r="AA23" s="179">
        <f t="shared" si="68"/>
        <v>407004</v>
      </c>
      <c r="AB23" s="555">
        <f t="shared" si="68"/>
        <v>407004</v>
      </c>
      <c r="AC23" s="179">
        <f t="shared" si="68"/>
        <v>441521</v>
      </c>
      <c r="AD23" s="179">
        <f t="shared" si="68"/>
        <v>471946</v>
      </c>
      <c r="AE23" s="179">
        <f t="shared" si="68"/>
        <v>501327</v>
      </c>
      <c r="AF23" s="179">
        <f t="shared" si="68"/>
        <v>537525</v>
      </c>
      <c r="AG23" s="555">
        <f t="shared" si="68"/>
        <v>537525</v>
      </c>
      <c r="AH23" s="179">
        <f t="shared" si="68"/>
        <v>565612</v>
      </c>
      <c r="AI23" s="179">
        <f t="shared" si="68"/>
        <v>570915</v>
      </c>
      <c r="AJ23" s="179">
        <f t="shared" ref="AJ23:BK23" si="69">SUM(AJ14:AJ21)+AJ12</f>
        <v>586000</v>
      </c>
      <c r="AK23" s="179">
        <f t="shared" si="69"/>
        <v>585680</v>
      </c>
      <c r="AL23" s="555">
        <f t="shared" si="69"/>
        <v>585680</v>
      </c>
      <c r="AM23" s="179">
        <f t="shared" si="69"/>
        <v>636142</v>
      </c>
      <c r="AN23" s="179">
        <f t="shared" si="69"/>
        <v>645612</v>
      </c>
      <c r="AO23" s="179">
        <f t="shared" si="69"/>
        <v>625924</v>
      </c>
      <c r="AP23" s="179">
        <f t="shared" si="69"/>
        <v>675608</v>
      </c>
      <c r="AQ23" s="555">
        <f t="shared" si="69"/>
        <v>675608</v>
      </c>
      <c r="AR23" s="179">
        <f t="shared" si="69"/>
        <v>684492</v>
      </c>
      <c r="AS23" s="179">
        <f t="shared" si="69"/>
        <v>707015</v>
      </c>
      <c r="AT23" s="179">
        <f t="shared" si="69"/>
        <v>707084</v>
      </c>
      <c r="AU23" s="179">
        <f t="shared" si="69"/>
        <v>736819</v>
      </c>
      <c r="AV23" s="555">
        <f t="shared" si="69"/>
        <v>736819</v>
      </c>
      <c r="AW23" s="179">
        <f t="shared" si="69"/>
        <v>729942</v>
      </c>
      <c r="AX23" s="179">
        <f t="shared" si="69"/>
        <v>737305</v>
      </c>
      <c r="AY23" s="179">
        <f t="shared" si="69"/>
        <v>756180</v>
      </c>
      <c r="AZ23" s="179">
        <f t="shared" si="69"/>
        <v>814559</v>
      </c>
      <c r="BA23" s="555">
        <f t="shared" si="69"/>
        <v>814559</v>
      </c>
      <c r="BB23" s="179">
        <f t="shared" si="69"/>
        <v>814550</v>
      </c>
      <c r="BC23" s="179">
        <f t="shared" si="69"/>
        <v>789011</v>
      </c>
      <c r="BD23" s="179">
        <f t="shared" si="69"/>
        <v>747631</v>
      </c>
      <c r="BE23" s="179">
        <f t="shared" si="69"/>
        <v>700941</v>
      </c>
      <c r="BF23" s="555">
        <f t="shared" si="69"/>
        <v>700941</v>
      </c>
      <c r="BG23" s="179">
        <f t="shared" si="69"/>
        <v>675753</v>
      </c>
      <c r="BH23" s="179">
        <f t="shared" si="69"/>
        <v>709584</v>
      </c>
      <c r="BI23" s="179">
        <f t="shared" si="69"/>
        <v>751861</v>
      </c>
      <c r="BJ23" s="179">
        <f t="shared" si="69"/>
        <v>812618</v>
      </c>
      <c r="BK23" s="555">
        <f t="shared" si="69"/>
        <v>812618</v>
      </c>
      <c r="BL23" s="179">
        <f t="shared" ref="BL23:BP23" si="70">SUM(BL14:BL21)+BL12</f>
        <v>861782</v>
      </c>
      <c r="BM23" s="179">
        <f t="shared" si="70"/>
        <v>876600</v>
      </c>
      <c r="BN23" s="179">
        <f t="shared" si="70"/>
        <v>908323</v>
      </c>
      <c r="BO23" s="179">
        <f t="shared" si="70"/>
        <v>973537</v>
      </c>
      <c r="BP23" s="555">
        <f t="shared" si="70"/>
        <v>973537</v>
      </c>
      <c r="BQ23" s="179">
        <f t="shared" ref="BQ23:BU23" si="71">SUM(BQ14:BQ21)+BQ12</f>
        <v>996471</v>
      </c>
      <c r="BR23" s="179">
        <f t="shared" si="71"/>
        <v>999505</v>
      </c>
      <c r="BS23" s="179">
        <f t="shared" si="71"/>
        <v>1031989</v>
      </c>
      <c r="BT23" s="179">
        <f t="shared" si="71"/>
        <v>1095081</v>
      </c>
      <c r="BU23" s="555">
        <f t="shared" si="71"/>
        <v>1095081</v>
      </c>
      <c r="BV23" s="179">
        <f t="shared" ref="BV23:BZ23" si="72">SUM(BV14:BV21)+BV12</f>
        <v>1159631.9188287223</v>
      </c>
      <c r="BW23" s="179">
        <f t="shared" si="72"/>
        <v>1210755.8566825001</v>
      </c>
      <c r="BX23" s="179">
        <f t="shared" si="72"/>
        <v>1298081.0424139167</v>
      </c>
      <c r="BY23" s="179">
        <f t="shared" si="72"/>
        <v>1404001.851620479</v>
      </c>
      <c r="BZ23" s="555">
        <f t="shared" si="72"/>
        <v>1404001.851620479</v>
      </c>
      <c r="CA23" s="179">
        <f t="shared" ref="CA23:CE23" si="73">SUM(CA14:CA21)+CA12</f>
        <v>1469380.1397001464</v>
      </c>
      <c r="CB23" s="179">
        <f t="shared" si="73"/>
        <v>1510720.7961768336</v>
      </c>
      <c r="CC23" s="179">
        <f t="shared" si="73"/>
        <v>1609233.1050810085</v>
      </c>
      <c r="CD23" s="179">
        <f t="shared" si="73"/>
        <v>1729896.8193117767</v>
      </c>
      <c r="CE23" s="555">
        <f t="shared" si="73"/>
        <v>1729896.8193117767</v>
      </c>
    </row>
    <row r="24" spans="2:83" ht="4.5" customHeight="1">
      <c r="B24" s="166"/>
      <c r="C24" s="182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555"/>
      <c r="S24" s="179"/>
      <c r="T24" s="179"/>
      <c r="U24" s="179"/>
      <c r="V24" s="179"/>
      <c r="W24" s="555"/>
      <c r="X24" s="179"/>
      <c r="Y24" s="179"/>
      <c r="Z24" s="179"/>
      <c r="AA24" s="179"/>
      <c r="AB24" s="555"/>
      <c r="AC24" s="179"/>
      <c r="AD24" s="179"/>
      <c r="AE24" s="179"/>
      <c r="AF24" s="179"/>
      <c r="AG24" s="555"/>
      <c r="AH24" s="179"/>
      <c r="AI24" s="179"/>
      <c r="AJ24" s="179"/>
      <c r="AK24" s="179"/>
      <c r="AL24" s="555"/>
      <c r="AM24" s="179"/>
      <c r="AN24" s="179"/>
      <c r="AO24" s="179"/>
      <c r="AP24" s="179"/>
      <c r="AQ24" s="555"/>
      <c r="AR24" s="179"/>
      <c r="AS24" s="179"/>
      <c r="AT24" s="179"/>
      <c r="AU24" s="179"/>
      <c r="AV24" s="555"/>
      <c r="AW24" s="179"/>
      <c r="AX24" s="179"/>
      <c r="AY24" s="179"/>
      <c r="AZ24" s="179"/>
      <c r="BA24" s="555"/>
      <c r="BB24" s="179"/>
      <c r="BC24" s="179"/>
      <c r="BD24" s="179"/>
      <c r="BE24" s="179"/>
      <c r="BF24" s="555"/>
      <c r="BG24" s="179"/>
      <c r="BH24" s="179"/>
      <c r="BI24" s="179"/>
      <c r="BJ24" s="179"/>
      <c r="BK24" s="555"/>
      <c r="BL24" s="179"/>
      <c r="BM24" s="179"/>
      <c r="BN24" s="179"/>
      <c r="BO24" s="179"/>
      <c r="BP24" s="555"/>
      <c r="BQ24" s="179"/>
      <c r="BR24" s="179"/>
      <c r="BS24" s="179"/>
      <c r="BT24" s="179"/>
      <c r="BU24" s="555"/>
      <c r="BV24" s="179"/>
      <c r="BW24" s="179"/>
      <c r="BX24" s="179"/>
      <c r="BY24" s="179"/>
      <c r="BZ24" s="555"/>
      <c r="CA24" s="179"/>
      <c r="CB24" s="179"/>
      <c r="CC24" s="179"/>
      <c r="CD24" s="179"/>
      <c r="CE24" s="555"/>
    </row>
    <row r="25" spans="2:83" ht="13.35" customHeight="1">
      <c r="B25" s="170" t="s">
        <v>101</v>
      </c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555"/>
      <c r="S25" s="179"/>
      <c r="T25" s="179"/>
      <c r="U25" s="179"/>
      <c r="V25" s="179"/>
      <c r="W25" s="555"/>
      <c r="X25" s="179"/>
      <c r="Y25" s="179"/>
      <c r="Z25" s="179"/>
      <c r="AA25" s="179"/>
      <c r="AB25" s="555"/>
      <c r="AC25" s="179"/>
      <c r="AD25" s="179"/>
      <c r="AE25" s="179"/>
      <c r="AF25" s="179"/>
      <c r="AG25" s="555"/>
      <c r="AH25" s="179"/>
      <c r="AI25" s="179"/>
      <c r="AJ25" s="179"/>
      <c r="AK25" s="179"/>
      <c r="AL25" s="555"/>
      <c r="AM25" s="179"/>
      <c r="AN25" s="179"/>
      <c r="AO25" s="179"/>
      <c r="AP25" s="179"/>
      <c r="AQ25" s="555"/>
      <c r="AR25" s="179"/>
      <c r="AS25" s="179"/>
      <c r="AT25" s="179"/>
      <c r="AU25" s="179"/>
      <c r="AV25" s="555"/>
      <c r="AW25" s="179"/>
      <c r="AX25" s="179"/>
      <c r="AY25" s="179"/>
      <c r="AZ25" s="179"/>
      <c r="BA25" s="555"/>
      <c r="BB25" s="179"/>
      <c r="BC25" s="179"/>
      <c r="BD25" s="179"/>
      <c r="BE25" s="179"/>
      <c r="BF25" s="555"/>
      <c r="BG25" s="179"/>
      <c r="BH25" s="179"/>
      <c r="BI25" s="179"/>
      <c r="BJ25" s="179"/>
      <c r="BK25" s="555"/>
      <c r="BL25" s="179"/>
      <c r="BM25" s="179"/>
      <c r="BN25" s="179"/>
      <c r="BO25" s="179"/>
      <c r="BP25" s="555"/>
      <c r="BQ25" s="179"/>
      <c r="BR25" s="179"/>
      <c r="BS25" s="179"/>
      <c r="BT25" s="179"/>
      <c r="BU25" s="555"/>
      <c r="BV25" s="179"/>
      <c r="BW25" s="179"/>
      <c r="BX25" s="179"/>
      <c r="BY25" s="179"/>
      <c r="BZ25" s="555"/>
      <c r="CA25" s="179"/>
      <c r="CB25" s="179"/>
      <c r="CC25" s="179"/>
      <c r="CD25" s="179"/>
      <c r="CE25" s="555"/>
    </row>
    <row r="26" spans="2:83" ht="13.35" customHeight="1">
      <c r="B26" s="170" t="s">
        <v>102</v>
      </c>
      <c r="C26" s="179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562"/>
      <c r="S26" s="182"/>
      <c r="T26" s="182"/>
      <c r="U26" s="182"/>
      <c r="V26" s="182"/>
      <c r="W26" s="562"/>
      <c r="X26" s="182"/>
      <c r="Y26" s="182"/>
      <c r="Z26" s="182"/>
      <c r="AA26" s="182"/>
      <c r="AB26" s="562"/>
      <c r="AC26" s="182"/>
      <c r="AD26" s="182"/>
      <c r="AE26" s="182"/>
      <c r="AF26" s="182"/>
      <c r="AG26" s="562"/>
      <c r="AH26" s="182"/>
      <c r="AI26" s="182"/>
      <c r="AJ26" s="182"/>
      <c r="AK26" s="182"/>
      <c r="AL26" s="562"/>
      <c r="AM26" s="182"/>
      <c r="AN26" s="182"/>
      <c r="AO26" s="182"/>
      <c r="AP26" s="182"/>
      <c r="AQ26" s="562"/>
      <c r="AR26" s="182"/>
      <c r="AS26" s="182"/>
      <c r="AT26" s="182"/>
      <c r="AU26" s="182"/>
      <c r="AV26" s="562"/>
      <c r="AW26" s="182"/>
      <c r="AX26" s="182"/>
      <c r="AY26" s="182"/>
      <c r="AZ26" s="182"/>
      <c r="BA26" s="562"/>
      <c r="BB26" s="182"/>
      <c r="BC26" s="182"/>
      <c r="BD26" s="182"/>
      <c r="BE26" s="182"/>
      <c r="BF26" s="562"/>
      <c r="BG26" s="182"/>
      <c r="BH26" s="182"/>
      <c r="BI26" s="182"/>
      <c r="BJ26" s="182"/>
      <c r="BK26" s="562"/>
      <c r="BL26" s="182"/>
      <c r="BM26" s="182"/>
      <c r="BN26" s="182"/>
      <c r="BO26" s="182"/>
      <c r="BP26" s="562"/>
      <c r="BQ26" s="182"/>
      <c r="BR26" s="182"/>
      <c r="BS26" s="182"/>
      <c r="BT26" s="182"/>
      <c r="BU26" s="562"/>
      <c r="BV26" s="182"/>
      <c r="BW26" s="182"/>
      <c r="BX26" s="182"/>
      <c r="BY26" s="182"/>
      <c r="BZ26" s="562"/>
      <c r="CA26" s="182"/>
      <c r="CB26" s="182"/>
      <c r="CC26" s="182"/>
      <c r="CD26" s="182"/>
      <c r="CE26" s="562"/>
    </row>
    <row r="27" spans="2:83" ht="13.35" customHeight="1">
      <c r="B27" s="166" t="s">
        <v>103</v>
      </c>
      <c r="C27" s="182"/>
      <c r="D27" s="182"/>
      <c r="E27" s="182"/>
      <c r="F27" s="182"/>
      <c r="G27" s="182">
        <v>2031.0000000000002</v>
      </c>
      <c r="H27" s="182">
        <f t="shared" ref="H27:H30" si="74">+G27</f>
        <v>2031.0000000000002</v>
      </c>
      <c r="I27" s="182"/>
      <c r="J27" s="182"/>
      <c r="K27" s="182"/>
      <c r="L27" s="182">
        <v>1930</v>
      </c>
      <c r="M27" s="182">
        <f t="shared" ref="M27:M30" si="75">+L27</f>
        <v>1930</v>
      </c>
      <c r="N27" s="182">
        <v>2017.9999999999998</v>
      </c>
      <c r="O27" s="182">
        <v>1735</v>
      </c>
      <c r="P27" s="182">
        <v>1898</v>
      </c>
      <c r="Q27" s="182">
        <v>5661</v>
      </c>
      <c r="R27" s="562">
        <f t="shared" ref="R27:R30" si="76">+Q27</f>
        <v>5661</v>
      </c>
      <c r="S27" s="182">
        <v>2052</v>
      </c>
      <c r="T27" s="182">
        <v>1042</v>
      </c>
      <c r="U27" s="182">
        <v>2055</v>
      </c>
      <c r="V27" s="182">
        <v>2368</v>
      </c>
      <c r="W27" s="562">
        <f t="shared" ref="W27:W30" si="77">+V27</f>
        <v>2368</v>
      </c>
      <c r="X27" s="182">
        <v>4393</v>
      </c>
      <c r="Y27" s="182">
        <v>5853</v>
      </c>
      <c r="Z27" s="182">
        <v>1491</v>
      </c>
      <c r="AA27" s="182">
        <v>2051</v>
      </c>
      <c r="AB27" s="562">
        <f t="shared" ref="AB27:AB30" si="78">+AA27</f>
        <v>2051</v>
      </c>
      <c r="AC27" s="182">
        <v>4338</v>
      </c>
      <c r="AD27" s="182">
        <v>1924</v>
      </c>
      <c r="AE27" s="182">
        <v>1398</v>
      </c>
      <c r="AF27" s="182">
        <v>1144</v>
      </c>
      <c r="AG27" s="562">
        <f t="shared" ref="AG27:AG30" si="79">+AF27</f>
        <v>1144</v>
      </c>
      <c r="AH27" s="182">
        <v>1310</v>
      </c>
      <c r="AI27" s="182">
        <v>1024</v>
      </c>
      <c r="AJ27" s="182">
        <v>4723</v>
      </c>
      <c r="AK27" s="182">
        <v>5588</v>
      </c>
      <c r="AL27" s="562">
        <f t="shared" ref="AL27:AL30" si="80">+AK27</f>
        <v>5588</v>
      </c>
      <c r="AM27" s="182">
        <v>566</v>
      </c>
      <c r="AN27" s="182">
        <v>963</v>
      </c>
      <c r="AO27" s="182">
        <v>909</v>
      </c>
      <c r="AP27" s="182">
        <f>848</f>
        <v>848</v>
      </c>
      <c r="AQ27" s="562">
        <f t="shared" ref="AQ27:AQ28" si="81">+AP27</f>
        <v>848</v>
      </c>
      <c r="AR27" s="182">
        <v>653</v>
      </c>
      <c r="AS27" s="182">
        <v>1395</v>
      </c>
      <c r="AT27" s="182">
        <f>2223</f>
        <v>2223</v>
      </c>
      <c r="AU27" s="182">
        <f>731</f>
        <v>731</v>
      </c>
      <c r="AV27" s="562">
        <f>AU27</f>
        <v>731</v>
      </c>
      <c r="AW27" s="182">
        <f>1164</f>
        <v>1164</v>
      </c>
      <c r="AX27" s="182">
        <f>1597</f>
        <v>1597</v>
      </c>
      <c r="AY27" s="182">
        <f>1099</f>
        <v>1099</v>
      </c>
      <c r="AZ27" s="182">
        <f>1296</f>
        <v>1296</v>
      </c>
      <c r="BA27" s="562">
        <f t="shared" ref="BA27:BA28" si="82">+AZ27</f>
        <v>1296</v>
      </c>
      <c r="BB27" s="182">
        <f>2477</f>
        <v>2477</v>
      </c>
      <c r="BC27" s="182">
        <f>2132</f>
        <v>2132</v>
      </c>
      <c r="BD27" s="182">
        <f>1308</f>
        <v>1308</v>
      </c>
      <c r="BE27" s="182">
        <f>2808</f>
        <v>2808</v>
      </c>
      <c r="BF27" s="562">
        <f t="shared" ref="BF27:BF30" si="83">+BE27</f>
        <v>2808</v>
      </c>
      <c r="BG27" s="182">
        <f>1740</f>
        <v>1740</v>
      </c>
      <c r="BH27" s="182">
        <f>2160</f>
        <v>2160</v>
      </c>
      <c r="BI27" s="182">
        <f>1165</f>
        <v>1165</v>
      </c>
      <c r="BJ27" s="182">
        <f>988</f>
        <v>988</v>
      </c>
      <c r="BK27" s="562">
        <f t="shared" ref="BK27:BK30" si="84">+BJ27</f>
        <v>988</v>
      </c>
      <c r="BL27" s="182">
        <f>645</f>
        <v>645</v>
      </c>
      <c r="BM27" s="182">
        <f>1277</f>
        <v>1277</v>
      </c>
      <c r="BN27" s="182">
        <f>1422</f>
        <v>1422</v>
      </c>
      <c r="BO27" s="182">
        <f>1270</f>
        <v>1270</v>
      </c>
      <c r="BP27" s="562">
        <f t="shared" ref="BP27:BP30" si="85">+BO27</f>
        <v>1270</v>
      </c>
      <c r="BQ27" s="182">
        <f>1292</f>
        <v>1292</v>
      </c>
      <c r="BR27" s="182">
        <f>1977</f>
        <v>1977</v>
      </c>
      <c r="BS27" s="182">
        <f>1823</f>
        <v>1823</v>
      </c>
      <c r="BT27" s="182">
        <f>1202</f>
        <v>1202</v>
      </c>
      <c r="BU27" s="562">
        <f t="shared" ref="BU27:BU30" si="86">+BT27</f>
        <v>1202</v>
      </c>
      <c r="BV27" s="182">
        <f>+BV59*BV108/90</f>
        <v>1542.1370222222224</v>
      </c>
      <c r="BW27" s="182">
        <f>+BW59*BW108/90</f>
        <v>1889.99424</v>
      </c>
      <c r="BX27" s="182">
        <f>+BX59*BX108/90</f>
        <v>1911.4556366666666</v>
      </c>
      <c r="BY27" s="182">
        <f>+BY59*BY108/90</f>
        <v>1938.034646666667</v>
      </c>
      <c r="BZ27" s="562">
        <f t="shared" ref="BZ27:BZ30" si="87">+BY27</f>
        <v>1938.034646666667</v>
      </c>
      <c r="CA27" s="182">
        <f>+CA59*CA108/90</f>
        <v>1644.6891342000001</v>
      </c>
      <c r="CB27" s="182">
        <f>+CB59*CB108/90</f>
        <v>1971.7364908800014</v>
      </c>
      <c r="CC27" s="182">
        <f>+CC59*CC108/90</f>
        <v>2000.332236333333</v>
      </c>
      <c r="CD27" s="182">
        <f>+CD59*CD108/90</f>
        <v>1988.0484440000009</v>
      </c>
      <c r="CE27" s="562">
        <f t="shared" ref="CE27:CE30" si="88">+CD27</f>
        <v>1988.0484440000009</v>
      </c>
    </row>
    <row r="28" spans="2:83" ht="13.35" customHeight="1">
      <c r="B28" s="166" t="s">
        <v>184</v>
      </c>
      <c r="C28" s="182"/>
      <c r="D28" s="182"/>
      <c r="E28" s="182"/>
      <c r="F28" s="182"/>
      <c r="G28" s="182">
        <v>7803</v>
      </c>
      <c r="H28" s="182">
        <f t="shared" si="74"/>
        <v>7803</v>
      </c>
      <c r="I28" s="182"/>
      <c r="J28" s="182"/>
      <c r="K28" s="182"/>
      <c r="L28" s="182">
        <v>9037</v>
      </c>
      <c r="M28" s="182">
        <f t="shared" si="75"/>
        <v>9037</v>
      </c>
      <c r="N28" s="182">
        <v>8444</v>
      </c>
      <c r="O28" s="182">
        <v>8389</v>
      </c>
      <c r="P28" s="182">
        <v>9101</v>
      </c>
      <c r="Q28" s="182">
        <v>10353</v>
      </c>
      <c r="R28" s="562">
        <f t="shared" si="76"/>
        <v>10353</v>
      </c>
      <c r="S28" s="182">
        <v>10547</v>
      </c>
      <c r="T28" s="182">
        <v>10598</v>
      </c>
      <c r="U28" s="182">
        <v>11358</v>
      </c>
      <c r="V28" s="182">
        <v>11786</v>
      </c>
      <c r="W28" s="562">
        <f t="shared" si="77"/>
        <v>11786</v>
      </c>
      <c r="X28" s="182">
        <v>11513</v>
      </c>
      <c r="Y28" s="182">
        <v>16851</v>
      </c>
      <c r="Z28" s="182">
        <v>16324.000000000002</v>
      </c>
      <c r="AA28" s="182">
        <v>13317</v>
      </c>
      <c r="AB28" s="562">
        <f t="shared" si="78"/>
        <v>13317</v>
      </c>
      <c r="AC28" s="182">
        <v>13338</v>
      </c>
      <c r="AD28" s="182">
        <v>13836</v>
      </c>
      <c r="AE28" s="182">
        <v>14679</v>
      </c>
      <c r="AF28" s="182">
        <v>21444</v>
      </c>
      <c r="AG28" s="562">
        <f t="shared" si="79"/>
        <v>21444</v>
      </c>
      <c r="AH28" s="182">
        <v>22181</v>
      </c>
      <c r="AI28" s="182">
        <v>27454</v>
      </c>
      <c r="AJ28" s="182">
        <v>23208</v>
      </c>
      <c r="AK28" s="182">
        <v>25130</v>
      </c>
      <c r="AL28" s="562">
        <f t="shared" si="80"/>
        <v>25130</v>
      </c>
      <c r="AM28" s="182">
        <v>32017</v>
      </c>
      <c r="AN28" s="182">
        <v>24315</v>
      </c>
      <c r="AO28" s="182">
        <v>25595</v>
      </c>
      <c r="AP28" s="182">
        <f>22784</f>
        <v>22784</v>
      </c>
      <c r="AQ28" s="562">
        <f t="shared" si="81"/>
        <v>22784</v>
      </c>
      <c r="AR28" s="182">
        <v>23753</v>
      </c>
      <c r="AS28" s="182">
        <v>24810</v>
      </c>
      <c r="AT28" s="182">
        <f>24772</f>
        <v>24772</v>
      </c>
      <c r="AU28" s="182">
        <f>29833</f>
        <v>29833</v>
      </c>
      <c r="AV28" s="562">
        <f t="shared" ref="AV28:AV30" si="89">AU28</f>
        <v>29833</v>
      </c>
      <c r="AW28" s="182">
        <f>27836</f>
        <v>27836</v>
      </c>
      <c r="AX28" s="182">
        <f>30685</f>
        <v>30685</v>
      </c>
      <c r="AY28" s="182">
        <f>33878</f>
        <v>33878</v>
      </c>
      <c r="AZ28" s="182">
        <f>32504</f>
        <v>32504</v>
      </c>
      <c r="BA28" s="562">
        <f t="shared" si="82"/>
        <v>32504</v>
      </c>
      <c r="BB28" s="182">
        <f>37083</f>
        <v>37083</v>
      </c>
      <c r="BC28" s="182">
        <f>37987</f>
        <v>37987</v>
      </c>
      <c r="BD28" s="182">
        <f>42816</f>
        <v>42816</v>
      </c>
      <c r="BE28" s="182">
        <f>42592</f>
        <v>42592</v>
      </c>
      <c r="BF28" s="562">
        <f t="shared" si="83"/>
        <v>42592</v>
      </c>
      <c r="BG28" s="182">
        <f>41777</f>
        <v>41777</v>
      </c>
      <c r="BH28" s="182">
        <f>52637</f>
        <v>52637</v>
      </c>
      <c r="BI28" s="182">
        <f>49838</f>
        <v>49838</v>
      </c>
      <c r="BJ28" s="182">
        <f>43096</f>
        <v>43096</v>
      </c>
      <c r="BK28" s="562">
        <f t="shared" si="84"/>
        <v>43096</v>
      </c>
      <c r="BL28" s="182">
        <f>48246</f>
        <v>48246</v>
      </c>
      <c r="BM28" s="182">
        <f>36095</f>
        <v>36095</v>
      </c>
      <c r="BN28" s="182">
        <f>39960</f>
        <v>39960</v>
      </c>
      <c r="BO28" s="182">
        <f>45942</f>
        <v>45942</v>
      </c>
      <c r="BP28" s="562">
        <f t="shared" si="85"/>
        <v>45942</v>
      </c>
      <c r="BQ28" s="182">
        <f>52921</f>
        <v>52921</v>
      </c>
      <c r="BR28" s="182">
        <f>52768</f>
        <v>52768</v>
      </c>
      <c r="BS28" s="182">
        <f>51136</f>
        <v>51136</v>
      </c>
      <c r="BT28" s="182">
        <f>57694</f>
        <v>57694</v>
      </c>
      <c r="BU28" s="562">
        <f t="shared" si="86"/>
        <v>57694</v>
      </c>
      <c r="BV28" s="182">
        <f>+(BV59+BV60)*BV112</f>
        <v>59068.593840000001</v>
      </c>
      <c r="BW28" s="182">
        <f>+(BW59+BW60)*BW112</f>
        <v>56639.805034999998</v>
      </c>
      <c r="BX28" s="182">
        <f>+(BX59+BX60)*BX112</f>
        <v>58392.085903800005</v>
      </c>
      <c r="BY28" s="182">
        <f>+(BY59+BY60)*BY112</f>
        <v>66666.118155899996</v>
      </c>
      <c r="BZ28" s="562">
        <f t="shared" si="87"/>
        <v>66666.118155899996</v>
      </c>
      <c r="CA28" s="182">
        <f>+(CA59+CA60)*CA112</f>
        <v>70700.139810409208</v>
      </c>
      <c r="CB28" s="182">
        <f>+(CB59+CB60)*CB112</f>
        <v>54636.948491219533</v>
      </c>
      <c r="CC28" s="182">
        <f>+(CC59+CC60)*CC112</f>
        <v>60455.522497680598</v>
      </c>
      <c r="CD28" s="182">
        <f>+(CD59+CD60)*CD112</f>
        <v>72112.891933636565</v>
      </c>
      <c r="CE28" s="562">
        <f t="shared" si="88"/>
        <v>72112.891933636565</v>
      </c>
    </row>
    <row r="29" spans="2:83" ht="13.35" customHeight="1">
      <c r="B29" s="166" t="s">
        <v>185</v>
      </c>
      <c r="C29" s="182"/>
      <c r="D29" s="182"/>
      <c r="E29" s="182"/>
      <c r="F29" s="182"/>
      <c r="G29" s="182">
        <v>56497</v>
      </c>
      <c r="H29" s="182">
        <f t="shared" si="74"/>
        <v>56497</v>
      </c>
      <c r="I29" s="182"/>
      <c r="J29" s="182"/>
      <c r="K29" s="182"/>
      <c r="L29" s="182">
        <v>67505</v>
      </c>
      <c r="M29" s="182">
        <f t="shared" si="75"/>
        <v>67505</v>
      </c>
      <c r="N29" s="182">
        <v>71410</v>
      </c>
      <c r="O29" s="182">
        <v>71853</v>
      </c>
      <c r="P29" s="182">
        <v>74337</v>
      </c>
      <c r="Q29" s="182">
        <v>81147</v>
      </c>
      <c r="R29" s="562">
        <f t="shared" si="76"/>
        <v>81147</v>
      </c>
      <c r="S29" s="182">
        <v>87929</v>
      </c>
      <c r="T29" s="182">
        <v>87411</v>
      </c>
      <c r="U29" s="182">
        <v>91939</v>
      </c>
      <c r="V29" s="182">
        <v>98025</v>
      </c>
      <c r="W29" s="562">
        <f t="shared" si="77"/>
        <v>98025</v>
      </c>
      <c r="X29" s="182">
        <v>101557</v>
      </c>
      <c r="Y29" s="182">
        <v>103753</v>
      </c>
      <c r="Z29" s="182">
        <v>109026</v>
      </c>
      <c r="AA29" s="182">
        <v>114964</v>
      </c>
      <c r="AB29" s="562">
        <f t="shared" si="78"/>
        <v>114964</v>
      </c>
      <c r="AC29" s="182">
        <v>120044</v>
      </c>
      <c r="AD29" s="182">
        <v>124738</v>
      </c>
      <c r="AE29" s="182">
        <v>132167</v>
      </c>
      <c r="AF29" s="182">
        <v>143186</v>
      </c>
      <c r="AG29" s="562">
        <f t="shared" si="79"/>
        <v>143186</v>
      </c>
      <c r="AH29" s="182">
        <v>147656</v>
      </c>
      <c r="AI29" s="182">
        <v>151419</v>
      </c>
      <c r="AJ29" s="182">
        <v>155115</v>
      </c>
      <c r="AK29" s="182">
        <v>164624</v>
      </c>
      <c r="AL29" s="562">
        <f t="shared" si="80"/>
        <v>164624</v>
      </c>
      <c r="AM29" s="182">
        <v>174452</v>
      </c>
      <c r="AN29" s="182">
        <v>176609</v>
      </c>
      <c r="AO29" s="182">
        <v>180304</v>
      </c>
      <c r="AP29" s="182">
        <f>192172</f>
        <v>192172</v>
      </c>
      <c r="AQ29" s="562">
        <f t="shared" ref="AQ29:AQ30" si="90">+AP29</f>
        <v>192172</v>
      </c>
      <c r="AR29" s="182">
        <v>201861</v>
      </c>
      <c r="AS29" s="182">
        <v>199732</v>
      </c>
      <c r="AT29" s="182">
        <f>200283</f>
        <v>200283</v>
      </c>
      <c r="AU29" s="182">
        <f>213494</f>
        <v>213494</v>
      </c>
      <c r="AV29" s="562">
        <f t="shared" si="89"/>
        <v>213494</v>
      </c>
      <c r="AW29" s="182">
        <f>218898</f>
        <v>218898</v>
      </c>
      <c r="AX29" s="182">
        <f>228180</f>
        <v>228180</v>
      </c>
      <c r="AY29" s="182">
        <f>237539</f>
        <v>237539</v>
      </c>
      <c r="AZ29" s="182">
        <f>257872</f>
        <v>257872</v>
      </c>
      <c r="BA29" s="562">
        <f t="shared" ref="BA29:BA30" si="91">+AZ29</f>
        <v>257872</v>
      </c>
      <c r="BB29" s="182">
        <f>266934</f>
        <v>266934</v>
      </c>
      <c r="BC29" s="182">
        <f>275725</f>
        <v>275725</v>
      </c>
      <c r="BD29" s="182">
        <f>278947</f>
        <v>278947</v>
      </c>
      <c r="BE29" s="182">
        <f>293728</f>
        <v>293728</v>
      </c>
      <c r="BF29" s="562">
        <f t="shared" si="83"/>
        <v>293728</v>
      </c>
      <c r="BG29" s="182">
        <f>296516</f>
        <v>296516</v>
      </c>
      <c r="BH29" s="182">
        <f>302446</f>
        <v>302446</v>
      </c>
      <c r="BI29" s="182">
        <f>307179</f>
        <v>307179</v>
      </c>
      <c r="BJ29" s="182">
        <f>333267</f>
        <v>333267</v>
      </c>
      <c r="BK29" s="562">
        <f t="shared" si="84"/>
        <v>333267</v>
      </c>
      <c r="BL29" s="182">
        <f>332128</f>
        <v>332128</v>
      </c>
      <c r="BM29" s="182">
        <f>324334</f>
        <v>324334</v>
      </c>
      <c r="BN29" s="182">
        <f>337821</f>
        <v>337821</v>
      </c>
      <c r="BO29" s="182">
        <f>371457</f>
        <v>371457</v>
      </c>
      <c r="BP29" s="562">
        <f t="shared" si="85"/>
        <v>371457</v>
      </c>
      <c r="BQ29" s="182">
        <f>366824</f>
        <v>366824</v>
      </c>
      <c r="BR29" s="182">
        <f>354971</f>
        <v>354971</v>
      </c>
      <c r="BS29" s="182">
        <f>371476</f>
        <v>371476</v>
      </c>
      <c r="BT29" s="182">
        <f>401127</f>
        <v>401127</v>
      </c>
      <c r="BU29" s="562">
        <f t="shared" si="86"/>
        <v>401127</v>
      </c>
      <c r="BV29" s="182">
        <f>+BQ29*(1+BV118)</f>
        <v>396169.92000000004</v>
      </c>
      <c r="BW29" s="182">
        <f>+BR29*(1+BW118)</f>
        <v>383368.68000000005</v>
      </c>
      <c r="BX29" s="182">
        <f>+BS29*(1+BX118)</f>
        <v>401194.08</v>
      </c>
      <c r="BY29" s="182">
        <f>+BT29*(1+BY118)</f>
        <v>431211.52499999997</v>
      </c>
      <c r="BZ29" s="562">
        <f t="shared" si="87"/>
        <v>431211.52499999997</v>
      </c>
      <c r="CA29" s="182">
        <f>+BV29*(1+CA118)</f>
        <v>423901.81440000009</v>
      </c>
      <c r="CB29" s="182">
        <f>+BW29*(1+CB118)</f>
        <v>410204.48760000005</v>
      </c>
      <c r="CC29" s="182">
        <f>+BX29*(1+CC118)</f>
        <v>429277.66560000007</v>
      </c>
      <c r="CD29" s="182">
        <f>+BY29*(1+CD118)</f>
        <v>461396.33175000001</v>
      </c>
      <c r="CE29" s="562">
        <f t="shared" si="88"/>
        <v>461396.33175000001</v>
      </c>
    </row>
    <row r="30" spans="2:83" ht="13.35" customHeight="1">
      <c r="B30" s="166" t="s">
        <v>389</v>
      </c>
      <c r="C30" s="182"/>
      <c r="D30" s="182"/>
      <c r="E30" s="182"/>
      <c r="F30" s="182"/>
      <c r="G30" s="182">
        <v>1183</v>
      </c>
      <c r="H30" s="182">
        <f t="shared" si="74"/>
        <v>1183</v>
      </c>
      <c r="I30" s="182"/>
      <c r="J30" s="182"/>
      <c r="K30" s="182"/>
      <c r="L30" s="182">
        <v>805</v>
      </c>
      <c r="M30" s="182">
        <f t="shared" si="75"/>
        <v>805</v>
      </c>
      <c r="N30" s="182">
        <v>538</v>
      </c>
      <c r="O30" s="182">
        <v>270</v>
      </c>
      <c r="P30" s="182">
        <v>0</v>
      </c>
      <c r="Q30" s="182">
        <v>0</v>
      </c>
      <c r="R30" s="562">
        <f t="shared" si="76"/>
        <v>0</v>
      </c>
      <c r="S30" s="182">
        <v>0</v>
      </c>
      <c r="T30" s="182">
        <v>0</v>
      </c>
      <c r="U30" s="182">
        <v>0</v>
      </c>
      <c r="V30" s="182">
        <v>0</v>
      </c>
      <c r="W30" s="562">
        <f t="shared" si="77"/>
        <v>0</v>
      </c>
      <c r="X30" s="182">
        <v>0</v>
      </c>
      <c r="Y30" s="182">
        <v>0</v>
      </c>
      <c r="Z30" s="182">
        <v>0</v>
      </c>
      <c r="AA30" s="182">
        <v>0</v>
      </c>
      <c r="AB30" s="562">
        <f t="shared" si="78"/>
        <v>0</v>
      </c>
      <c r="AC30" s="182">
        <v>0</v>
      </c>
      <c r="AD30" s="182">
        <v>0</v>
      </c>
      <c r="AE30" s="182">
        <f>+AD30</f>
        <v>0</v>
      </c>
      <c r="AF30" s="182">
        <f>+AE30</f>
        <v>0</v>
      </c>
      <c r="AG30" s="562">
        <f t="shared" si="79"/>
        <v>0</v>
      </c>
      <c r="AH30" s="182">
        <v>0</v>
      </c>
      <c r="AI30" s="182">
        <v>0</v>
      </c>
      <c r="AJ30" s="182">
        <v>0</v>
      </c>
      <c r="AK30" s="182">
        <v>1565</v>
      </c>
      <c r="AL30" s="562">
        <f t="shared" si="80"/>
        <v>1565</v>
      </c>
      <c r="AM30" s="182">
        <v>1153</v>
      </c>
      <c r="AN30" s="182">
        <v>6826</v>
      </c>
      <c r="AO30" s="182">
        <v>6937</v>
      </c>
      <c r="AP30" s="182">
        <f>7663</f>
        <v>7663</v>
      </c>
      <c r="AQ30" s="562">
        <f t="shared" si="90"/>
        <v>7663</v>
      </c>
      <c r="AR30" s="182">
        <v>7968</v>
      </c>
      <c r="AS30" s="182">
        <v>9161</v>
      </c>
      <c r="AT30" s="182">
        <f>11777</f>
        <v>11777</v>
      </c>
      <c r="AU30" s="182">
        <f>11672</f>
        <v>11672</v>
      </c>
      <c r="AV30" s="562">
        <f t="shared" si="89"/>
        <v>11672</v>
      </c>
      <c r="AW30" s="182">
        <f>11846</f>
        <v>11846</v>
      </c>
      <c r="AX30" s="182">
        <f>12246</f>
        <v>12246</v>
      </c>
      <c r="AY30" s="182">
        <f>12176</f>
        <v>12176</v>
      </c>
      <c r="AZ30" s="182">
        <f>12608</f>
        <v>12608</v>
      </c>
      <c r="BA30" s="562">
        <f t="shared" si="91"/>
        <v>12608</v>
      </c>
      <c r="BB30" s="182">
        <f>12044</f>
        <v>12044</v>
      </c>
      <c r="BC30" s="182">
        <f>11545</f>
        <v>11545</v>
      </c>
      <c r="BD30" s="182">
        <f>10959</f>
        <v>10959</v>
      </c>
      <c r="BE30" s="182">
        <f>13060</f>
        <v>13060</v>
      </c>
      <c r="BF30" s="562">
        <f t="shared" si="83"/>
        <v>13060</v>
      </c>
      <c r="BG30" s="182">
        <f>12925</f>
        <v>12925</v>
      </c>
      <c r="BH30" s="182">
        <f>11877</f>
        <v>11877</v>
      </c>
      <c r="BI30" s="182">
        <f>12309</f>
        <v>12309</v>
      </c>
      <c r="BJ30" s="182">
        <f>11857</f>
        <v>11857</v>
      </c>
      <c r="BK30" s="562">
        <f t="shared" si="84"/>
        <v>11857</v>
      </c>
      <c r="BL30" s="182">
        <f>10046</f>
        <v>10046</v>
      </c>
      <c r="BM30" s="182">
        <f>10123</f>
        <v>10123</v>
      </c>
      <c r="BN30" s="182">
        <f>9333</f>
        <v>9333</v>
      </c>
      <c r="BO30" s="182">
        <f>9721</f>
        <v>9721</v>
      </c>
      <c r="BP30" s="562">
        <f t="shared" si="85"/>
        <v>9721</v>
      </c>
      <c r="BQ30" s="182">
        <f>10991</f>
        <v>10991</v>
      </c>
      <c r="BR30" s="182">
        <f>7099</f>
        <v>7099</v>
      </c>
      <c r="BS30" s="182">
        <f>7345</f>
        <v>7345</v>
      </c>
      <c r="BT30" s="182">
        <f>7315</f>
        <v>7315</v>
      </c>
      <c r="BU30" s="562">
        <f t="shared" si="86"/>
        <v>7315</v>
      </c>
      <c r="BV30" s="182">
        <f>+BT30</f>
        <v>7315</v>
      </c>
      <c r="BW30" s="182">
        <f>+BV30</f>
        <v>7315</v>
      </c>
      <c r="BX30" s="182">
        <f t="shared" ref="BX30" si="92">+BW30</f>
        <v>7315</v>
      </c>
      <c r="BY30" s="182">
        <f t="shared" ref="BY30" si="93">+BX30</f>
        <v>7315</v>
      </c>
      <c r="BZ30" s="562">
        <f t="shared" si="87"/>
        <v>7315</v>
      </c>
      <c r="CA30" s="182">
        <f>+BY30</f>
        <v>7315</v>
      </c>
      <c r="CB30" s="182">
        <f>+CA30</f>
        <v>7315</v>
      </c>
      <c r="CC30" s="182">
        <f t="shared" ref="CC30" si="94">+CB30</f>
        <v>7315</v>
      </c>
      <c r="CD30" s="182">
        <f t="shared" ref="CD30" si="95">+CC30</f>
        <v>7315</v>
      </c>
      <c r="CE30" s="562">
        <f t="shared" si="88"/>
        <v>7315</v>
      </c>
    </row>
    <row r="31" spans="2:83" ht="3" customHeight="1">
      <c r="B31" s="166"/>
      <c r="C31" s="244"/>
      <c r="D31" s="188" t="s">
        <v>0</v>
      </c>
      <c r="E31" s="188" t="s">
        <v>0</v>
      </c>
      <c r="F31" s="188" t="s">
        <v>0</v>
      </c>
      <c r="G31" s="188" t="s">
        <v>0</v>
      </c>
      <c r="H31" s="188" t="s">
        <v>0</v>
      </c>
      <c r="I31" s="188" t="s">
        <v>0</v>
      </c>
      <c r="J31" s="188" t="s">
        <v>0</v>
      </c>
      <c r="K31" s="188" t="s">
        <v>0</v>
      </c>
      <c r="L31" s="188" t="s">
        <v>0</v>
      </c>
      <c r="M31" s="188" t="s">
        <v>0</v>
      </c>
      <c r="N31" s="188" t="s">
        <v>0</v>
      </c>
      <c r="O31" s="188" t="s">
        <v>0</v>
      </c>
      <c r="P31" s="188" t="s">
        <v>0</v>
      </c>
      <c r="Q31" s="188" t="s">
        <v>0</v>
      </c>
      <c r="R31" s="596" t="s">
        <v>0</v>
      </c>
      <c r="S31" s="188" t="s">
        <v>0</v>
      </c>
      <c r="T31" s="188" t="s">
        <v>0</v>
      </c>
      <c r="U31" s="188" t="s">
        <v>0</v>
      </c>
      <c r="V31" s="188" t="s">
        <v>0</v>
      </c>
      <c r="W31" s="596" t="s">
        <v>0</v>
      </c>
      <c r="X31" s="188" t="s">
        <v>0</v>
      </c>
      <c r="Y31" s="188" t="s">
        <v>0</v>
      </c>
      <c r="Z31" s="188" t="s">
        <v>0</v>
      </c>
      <c r="AA31" s="188" t="s">
        <v>0</v>
      </c>
      <c r="AB31" s="596" t="s">
        <v>0</v>
      </c>
      <c r="AC31" s="188" t="s">
        <v>0</v>
      </c>
      <c r="AD31" s="188" t="s">
        <v>0</v>
      </c>
      <c r="AE31" s="188" t="s">
        <v>0</v>
      </c>
      <c r="AF31" s="188" t="s">
        <v>0</v>
      </c>
      <c r="AG31" s="596" t="s">
        <v>0</v>
      </c>
      <c r="AH31" s="188" t="s">
        <v>0</v>
      </c>
      <c r="AI31" s="188" t="s">
        <v>0</v>
      </c>
      <c r="AJ31" s="188" t="s">
        <v>0</v>
      </c>
      <c r="AK31" s="188" t="s">
        <v>0</v>
      </c>
      <c r="AL31" s="596" t="s">
        <v>0</v>
      </c>
      <c r="AM31" s="188" t="s">
        <v>0</v>
      </c>
      <c r="AN31" s="188" t="s">
        <v>0</v>
      </c>
      <c r="AO31" s="188" t="s">
        <v>0</v>
      </c>
      <c r="AP31" s="188" t="s">
        <v>0</v>
      </c>
      <c r="AQ31" s="596" t="s">
        <v>0</v>
      </c>
      <c r="AR31" s="188" t="s">
        <v>0</v>
      </c>
      <c r="AS31" s="188" t="s">
        <v>0</v>
      </c>
      <c r="AT31" s="188" t="s">
        <v>0</v>
      </c>
      <c r="AU31" s="188" t="s">
        <v>0</v>
      </c>
      <c r="AV31" s="596" t="s">
        <v>0</v>
      </c>
      <c r="AW31" s="188" t="s">
        <v>0</v>
      </c>
      <c r="AX31" s="188" t="s">
        <v>0</v>
      </c>
      <c r="AY31" s="188" t="s">
        <v>0</v>
      </c>
      <c r="AZ31" s="188" t="s">
        <v>0</v>
      </c>
      <c r="BA31" s="596" t="s">
        <v>0</v>
      </c>
      <c r="BB31" s="188" t="s">
        <v>0</v>
      </c>
      <c r="BC31" s="188" t="s">
        <v>0</v>
      </c>
      <c r="BD31" s="188" t="s">
        <v>0</v>
      </c>
      <c r="BE31" s="188" t="s">
        <v>0</v>
      </c>
      <c r="BF31" s="596" t="s">
        <v>0</v>
      </c>
      <c r="BG31" s="188" t="s">
        <v>0</v>
      </c>
      <c r="BH31" s="188" t="s">
        <v>0</v>
      </c>
      <c r="BI31" s="188" t="s">
        <v>0</v>
      </c>
      <c r="BJ31" s="188" t="s">
        <v>0</v>
      </c>
      <c r="BK31" s="596" t="s">
        <v>0</v>
      </c>
      <c r="BL31" s="188" t="s">
        <v>0</v>
      </c>
      <c r="BM31" s="188" t="s">
        <v>0</v>
      </c>
      <c r="BN31" s="188" t="s">
        <v>0</v>
      </c>
      <c r="BO31" s="188" t="s">
        <v>0</v>
      </c>
      <c r="BP31" s="596" t="s">
        <v>0</v>
      </c>
      <c r="BQ31" s="188" t="s">
        <v>0</v>
      </c>
      <c r="BR31" s="188" t="s">
        <v>0</v>
      </c>
      <c r="BS31" s="188" t="s">
        <v>0</v>
      </c>
      <c r="BT31" s="188" t="s">
        <v>0</v>
      </c>
      <c r="BU31" s="596" t="s">
        <v>0</v>
      </c>
      <c r="BV31" s="188" t="s">
        <v>0</v>
      </c>
      <c r="BW31" s="188" t="s">
        <v>0</v>
      </c>
      <c r="BX31" s="188" t="s">
        <v>0</v>
      </c>
      <c r="BY31" s="188" t="s">
        <v>0</v>
      </c>
      <c r="BZ31" s="596" t="s">
        <v>0</v>
      </c>
      <c r="CA31" s="188" t="s">
        <v>0</v>
      </c>
      <c r="CB31" s="188" t="s">
        <v>0</v>
      </c>
      <c r="CC31" s="188" t="s">
        <v>0</v>
      </c>
      <c r="CD31" s="188" t="s">
        <v>0</v>
      </c>
      <c r="CE31" s="596" t="s">
        <v>0</v>
      </c>
    </row>
    <row r="32" spans="2:83" ht="13.35" customHeight="1">
      <c r="B32" s="190" t="s">
        <v>106</v>
      </c>
      <c r="C32" s="179"/>
      <c r="D32" s="179">
        <f t="shared" ref="D32:AI32" si="96">SUM(D27:D30)</f>
        <v>0</v>
      </c>
      <c r="E32" s="179">
        <f t="shared" si="96"/>
        <v>0</v>
      </c>
      <c r="F32" s="179">
        <f t="shared" si="96"/>
        <v>0</v>
      </c>
      <c r="G32" s="179">
        <f t="shared" si="96"/>
        <v>67514</v>
      </c>
      <c r="H32" s="179">
        <f t="shared" si="96"/>
        <v>67514</v>
      </c>
      <c r="I32" s="179">
        <f t="shared" si="96"/>
        <v>0</v>
      </c>
      <c r="J32" s="179">
        <f t="shared" si="96"/>
        <v>0</v>
      </c>
      <c r="K32" s="179">
        <f t="shared" si="96"/>
        <v>0</v>
      </c>
      <c r="L32" s="179">
        <f t="shared" si="96"/>
        <v>79277</v>
      </c>
      <c r="M32" s="179">
        <f t="shared" si="96"/>
        <v>79277</v>
      </c>
      <c r="N32" s="179">
        <f t="shared" si="96"/>
        <v>82410</v>
      </c>
      <c r="O32" s="179">
        <f t="shared" si="96"/>
        <v>82247</v>
      </c>
      <c r="P32" s="179">
        <f t="shared" si="96"/>
        <v>85336</v>
      </c>
      <c r="Q32" s="179">
        <f t="shared" si="96"/>
        <v>97161</v>
      </c>
      <c r="R32" s="555">
        <f t="shared" si="96"/>
        <v>97161</v>
      </c>
      <c r="S32" s="179">
        <f t="shared" si="96"/>
        <v>100528</v>
      </c>
      <c r="T32" s="179">
        <f t="shared" si="96"/>
        <v>99051</v>
      </c>
      <c r="U32" s="179">
        <f t="shared" si="96"/>
        <v>105352</v>
      </c>
      <c r="V32" s="179">
        <f t="shared" si="96"/>
        <v>112179</v>
      </c>
      <c r="W32" s="555">
        <f t="shared" si="96"/>
        <v>112179</v>
      </c>
      <c r="X32" s="179">
        <f t="shared" si="96"/>
        <v>117463</v>
      </c>
      <c r="Y32" s="179">
        <f t="shared" si="96"/>
        <v>126457</v>
      </c>
      <c r="Z32" s="179">
        <f t="shared" si="96"/>
        <v>126841</v>
      </c>
      <c r="AA32" s="179">
        <f t="shared" si="96"/>
        <v>130332</v>
      </c>
      <c r="AB32" s="555">
        <f t="shared" si="96"/>
        <v>130332</v>
      </c>
      <c r="AC32" s="179">
        <f t="shared" si="96"/>
        <v>137720</v>
      </c>
      <c r="AD32" s="179">
        <f t="shared" si="96"/>
        <v>140498</v>
      </c>
      <c r="AE32" s="179">
        <f t="shared" si="96"/>
        <v>148244</v>
      </c>
      <c r="AF32" s="179">
        <f t="shared" si="96"/>
        <v>165774</v>
      </c>
      <c r="AG32" s="555">
        <f t="shared" si="96"/>
        <v>165774</v>
      </c>
      <c r="AH32" s="179">
        <f t="shared" si="96"/>
        <v>171147</v>
      </c>
      <c r="AI32" s="179">
        <f t="shared" si="96"/>
        <v>179897</v>
      </c>
      <c r="AJ32" s="179">
        <f t="shared" ref="AJ32:BA32" si="97">SUM(AJ27:AJ30)</f>
        <v>183046</v>
      </c>
      <c r="AK32" s="179">
        <f t="shared" si="97"/>
        <v>196907</v>
      </c>
      <c r="AL32" s="555">
        <f t="shared" si="97"/>
        <v>196907</v>
      </c>
      <c r="AM32" s="179">
        <f t="shared" si="97"/>
        <v>208188</v>
      </c>
      <c r="AN32" s="179">
        <f t="shared" si="97"/>
        <v>208713</v>
      </c>
      <c r="AO32" s="179">
        <f t="shared" si="97"/>
        <v>213745</v>
      </c>
      <c r="AP32" s="179">
        <f t="shared" si="97"/>
        <v>223467</v>
      </c>
      <c r="AQ32" s="555">
        <f t="shared" si="97"/>
        <v>223467</v>
      </c>
      <c r="AR32" s="179">
        <f t="shared" si="97"/>
        <v>234235</v>
      </c>
      <c r="AS32" s="179">
        <f t="shared" si="97"/>
        <v>235098</v>
      </c>
      <c r="AT32" s="179">
        <f t="shared" si="97"/>
        <v>239055</v>
      </c>
      <c r="AU32" s="179">
        <f t="shared" si="97"/>
        <v>255730</v>
      </c>
      <c r="AV32" s="555">
        <f t="shared" si="97"/>
        <v>255730</v>
      </c>
      <c r="AW32" s="179">
        <f t="shared" si="97"/>
        <v>259744</v>
      </c>
      <c r="AX32" s="179">
        <f t="shared" si="97"/>
        <v>272708</v>
      </c>
      <c r="AY32" s="179">
        <f t="shared" si="97"/>
        <v>284692</v>
      </c>
      <c r="AZ32" s="179">
        <f t="shared" si="97"/>
        <v>304280</v>
      </c>
      <c r="BA32" s="555">
        <f t="shared" si="97"/>
        <v>304280</v>
      </c>
      <c r="BB32" s="179">
        <f t="shared" ref="BB32:BF32" si="98">SUM(BB27:BB30)</f>
        <v>318538</v>
      </c>
      <c r="BC32" s="179">
        <f t="shared" si="98"/>
        <v>327389</v>
      </c>
      <c r="BD32" s="179">
        <f t="shared" si="98"/>
        <v>334030</v>
      </c>
      <c r="BE32" s="179">
        <f t="shared" si="98"/>
        <v>352188</v>
      </c>
      <c r="BF32" s="555">
        <f t="shared" si="98"/>
        <v>352188</v>
      </c>
      <c r="BG32" s="179">
        <f t="shared" ref="BG32:BK32" si="99">SUM(BG27:BG30)</f>
        <v>352958</v>
      </c>
      <c r="BH32" s="179">
        <f t="shared" si="99"/>
        <v>369120</v>
      </c>
      <c r="BI32" s="179">
        <f t="shared" si="99"/>
        <v>370491</v>
      </c>
      <c r="BJ32" s="179">
        <f t="shared" si="99"/>
        <v>389208</v>
      </c>
      <c r="BK32" s="555">
        <f t="shared" si="99"/>
        <v>389208</v>
      </c>
      <c r="BL32" s="179">
        <f t="shared" ref="BL32:BP32" si="100">SUM(BL27:BL30)</f>
        <v>391065</v>
      </c>
      <c r="BM32" s="179">
        <f t="shared" si="100"/>
        <v>371829</v>
      </c>
      <c r="BN32" s="179">
        <f t="shared" si="100"/>
        <v>388536</v>
      </c>
      <c r="BO32" s="179">
        <f t="shared" si="100"/>
        <v>428390</v>
      </c>
      <c r="BP32" s="555">
        <f t="shared" si="100"/>
        <v>428390</v>
      </c>
      <c r="BQ32" s="179">
        <f t="shared" ref="BQ32:BU32" si="101">SUM(BQ27:BQ30)</f>
        <v>432028</v>
      </c>
      <c r="BR32" s="179">
        <f t="shared" si="101"/>
        <v>416815</v>
      </c>
      <c r="BS32" s="179">
        <f t="shared" si="101"/>
        <v>431780</v>
      </c>
      <c r="BT32" s="179">
        <f t="shared" si="101"/>
        <v>467338</v>
      </c>
      <c r="BU32" s="555">
        <f t="shared" si="101"/>
        <v>467338</v>
      </c>
      <c r="BV32" s="179">
        <f t="shared" ref="BV32:BZ32" si="102">SUM(BV27:BV30)</f>
        <v>464095.65086222225</v>
      </c>
      <c r="BW32" s="179">
        <f t="shared" si="102"/>
        <v>449213.47927500005</v>
      </c>
      <c r="BX32" s="179">
        <f t="shared" si="102"/>
        <v>468812.62154046667</v>
      </c>
      <c r="BY32" s="179">
        <f t="shared" si="102"/>
        <v>507130.67780256661</v>
      </c>
      <c r="BZ32" s="555">
        <f t="shared" si="102"/>
        <v>507130.67780256661</v>
      </c>
      <c r="CA32" s="179">
        <f t="shared" ref="CA32:CE32" si="103">SUM(CA27:CA30)</f>
        <v>503561.6433446093</v>
      </c>
      <c r="CB32" s="179">
        <f t="shared" si="103"/>
        <v>474128.17258209956</v>
      </c>
      <c r="CC32" s="179">
        <f t="shared" si="103"/>
        <v>499048.52033401397</v>
      </c>
      <c r="CD32" s="179">
        <f t="shared" si="103"/>
        <v>542812.27212763659</v>
      </c>
      <c r="CE32" s="555">
        <f t="shared" si="103"/>
        <v>542812.27212763659</v>
      </c>
    </row>
    <row r="33" spans="2:83" ht="3.75" customHeight="1">
      <c r="B33" s="166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562"/>
      <c r="S33" s="182"/>
      <c r="T33" s="182"/>
      <c r="U33" s="182"/>
      <c r="V33" s="182"/>
      <c r="W33" s="562"/>
      <c r="X33" s="182"/>
      <c r="Y33" s="182"/>
      <c r="Z33" s="182"/>
      <c r="AA33" s="182"/>
      <c r="AB33" s="562"/>
      <c r="AC33" s="182"/>
      <c r="AD33" s="182"/>
      <c r="AE33" s="182"/>
      <c r="AF33" s="182"/>
      <c r="AG33" s="562"/>
      <c r="AH33" s="182"/>
      <c r="AI33" s="182"/>
      <c r="AJ33" s="182"/>
      <c r="AK33" s="182"/>
      <c r="AL33" s="562"/>
      <c r="AM33" s="182"/>
      <c r="AN33" s="182"/>
      <c r="AO33" s="182"/>
      <c r="AP33" s="182"/>
      <c r="AQ33" s="562"/>
      <c r="AR33" s="182"/>
      <c r="AS33" s="182"/>
      <c r="AT33" s="182"/>
      <c r="AU33" s="182"/>
      <c r="AV33" s="562"/>
      <c r="AW33" s="182"/>
      <c r="AX33" s="182"/>
      <c r="AY33" s="182"/>
      <c r="AZ33" s="182"/>
      <c r="BA33" s="562"/>
      <c r="BB33" s="182"/>
      <c r="BC33" s="182"/>
      <c r="BD33" s="182"/>
      <c r="BE33" s="182"/>
      <c r="BF33" s="562"/>
      <c r="BG33" s="182"/>
      <c r="BH33" s="182"/>
      <c r="BI33" s="182"/>
      <c r="BJ33" s="182"/>
      <c r="BK33" s="562"/>
      <c r="BL33" s="182"/>
      <c r="BM33" s="182"/>
      <c r="BN33" s="182"/>
      <c r="BO33" s="182"/>
      <c r="BP33" s="562"/>
      <c r="BQ33" s="182"/>
      <c r="BR33" s="182"/>
      <c r="BS33" s="182"/>
      <c r="BT33" s="182"/>
      <c r="BU33" s="562"/>
      <c r="BV33" s="182"/>
      <c r="BW33" s="182"/>
      <c r="BX33" s="182"/>
      <c r="BY33" s="182"/>
      <c r="BZ33" s="562"/>
      <c r="CA33" s="182"/>
      <c r="CB33" s="182"/>
      <c r="CC33" s="182"/>
      <c r="CD33" s="182"/>
      <c r="CE33" s="562"/>
    </row>
    <row r="34" spans="2:83" ht="7.5" customHeight="1">
      <c r="B34" s="166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562"/>
      <c r="S34" s="182"/>
      <c r="T34" s="182"/>
      <c r="U34" s="182"/>
      <c r="V34" s="182"/>
      <c r="W34" s="562"/>
      <c r="X34" s="182"/>
      <c r="Y34" s="182"/>
      <c r="Z34" s="182"/>
      <c r="AA34" s="182"/>
      <c r="AB34" s="562"/>
      <c r="AC34" s="182"/>
      <c r="AD34" s="182"/>
      <c r="AE34" s="182"/>
      <c r="AF34" s="182"/>
      <c r="AG34" s="562"/>
      <c r="AH34" s="182"/>
      <c r="AI34" s="182"/>
      <c r="AJ34" s="182"/>
      <c r="AK34" s="182"/>
      <c r="AL34" s="562"/>
      <c r="AM34" s="182"/>
      <c r="AN34" s="182"/>
      <c r="AO34" s="182"/>
      <c r="AP34" s="182"/>
      <c r="AQ34" s="562"/>
      <c r="AR34" s="182"/>
      <c r="AS34" s="182"/>
      <c r="AT34" s="182"/>
      <c r="AU34" s="182"/>
      <c r="AV34" s="562"/>
      <c r="AW34" s="182"/>
      <c r="AX34" s="182"/>
      <c r="AY34" s="182"/>
      <c r="AZ34" s="182"/>
      <c r="BA34" s="562"/>
      <c r="BB34" s="182"/>
      <c r="BC34" s="182"/>
      <c r="BD34" s="182"/>
      <c r="BE34" s="182"/>
      <c r="BF34" s="562"/>
      <c r="BG34" s="182"/>
      <c r="BH34" s="182"/>
      <c r="BI34" s="182"/>
      <c r="BJ34" s="182"/>
      <c r="BK34" s="562"/>
      <c r="BL34" s="182"/>
      <c r="BM34" s="182"/>
      <c r="BN34" s="182"/>
      <c r="BO34" s="182"/>
      <c r="BP34" s="562"/>
      <c r="BQ34" s="182"/>
      <c r="BR34" s="182"/>
      <c r="BS34" s="182"/>
      <c r="BT34" s="182"/>
      <c r="BU34" s="562"/>
      <c r="BV34" s="182"/>
      <c r="BW34" s="182"/>
      <c r="BX34" s="182"/>
      <c r="BY34" s="182"/>
      <c r="BZ34" s="562"/>
      <c r="CA34" s="182"/>
      <c r="CB34" s="182"/>
      <c r="CC34" s="182"/>
      <c r="CD34" s="182"/>
      <c r="CE34" s="562"/>
    </row>
    <row r="35" spans="2:83" ht="13.35" customHeight="1">
      <c r="B35" s="166" t="s">
        <v>126</v>
      </c>
      <c r="C35" s="182"/>
      <c r="D35" s="182"/>
      <c r="E35" s="182"/>
      <c r="F35" s="182"/>
      <c r="G35" s="182">
        <v>8616</v>
      </c>
      <c r="H35" s="182">
        <f t="shared" ref="H35:H39" si="104">+G35</f>
        <v>8616</v>
      </c>
      <c r="I35" s="182"/>
      <c r="J35" s="182"/>
      <c r="K35" s="182"/>
      <c r="L35" s="182">
        <v>8889</v>
      </c>
      <c r="M35" s="182">
        <f t="shared" ref="M35:M39" si="105">+L35</f>
        <v>8889</v>
      </c>
      <c r="N35" s="182">
        <v>8908</v>
      </c>
      <c r="O35" s="182">
        <v>8781</v>
      </c>
      <c r="P35" s="182">
        <v>8965</v>
      </c>
      <c r="Q35" s="182">
        <v>10064</v>
      </c>
      <c r="R35" s="562">
        <f t="shared" ref="R35:R39" si="106">+Q35</f>
        <v>10064</v>
      </c>
      <c r="S35" s="182">
        <v>10064</v>
      </c>
      <c r="T35" s="182">
        <v>9711</v>
      </c>
      <c r="U35" s="182">
        <v>9884</v>
      </c>
      <c r="V35" s="182">
        <v>14564</v>
      </c>
      <c r="W35" s="562">
        <f t="shared" ref="W35:W39" si="107">+V35</f>
        <v>14564</v>
      </c>
      <c r="X35" s="182">
        <v>13092</v>
      </c>
      <c r="Y35" s="182">
        <v>13073</v>
      </c>
      <c r="Z35" s="182">
        <v>14416</v>
      </c>
      <c r="AA35" s="182">
        <v>15528</v>
      </c>
      <c r="AB35" s="562">
        <f t="shared" ref="AB35:AB39" si="108">+AA35</f>
        <v>15528</v>
      </c>
      <c r="AC35" s="182">
        <v>18461</v>
      </c>
      <c r="AD35" s="182">
        <v>16701</v>
      </c>
      <c r="AE35" s="182">
        <v>16041</v>
      </c>
      <c r="AF35" s="182">
        <v>17136</v>
      </c>
      <c r="AG35" s="562">
        <f t="shared" ref="AG35:AG39" si="109">+AF35</f>
        <v>17136</v>
      </c>
      <c r="AH35" s="182">
        <v>14995</v>
      </c>
      <c r="AI35" s="182">
        <v>13327</v>
      </c>
      <c r="AJ35" s="182">
        <v>17558</v>
      </c>
      <c r="AK35" s="182">
        <v>20423</v>
      </c>
      <c r="AL35" s="562">
        <f t="shared" ref="AL35:AL39" si="110">+AK35</f>
        <v>20423</v>
      </c>
      <c r="AM35" s="182">
        <v>20450</v>
      </c>
      <c r="AN35" s="182">
        <v>20835</v>
      </c>
      <c r="AO35" s="182">
        <v>20156</v>
      </c>
      <c r="AP35" s="182">
        <f>20935</f>
        <v>20935</v>
      </c>
      <c r="AQ35" s="562">
        <f t="shared" ref="AQ35:AQ39" si="111">+AP35</f>
        <v>20935</v>
      </c>
      <c r="AR35" s="182">
        <v>21823</v>
      </c>
      <c r="AS35" s="182">
        <f>+AR35*(1+AS125)</f>
        <v>21823</v>
      </c>
      <c r="AT35" s="182">
        <f>19157</f>
        <v>19157</v>
      </c>
      <c r="AU35" s="182">
        <f>30540</f>
        <v>30540</v>
      </c>
      <c r="AV35" s="562">
        <f t="shared" ref="AV35:AV39" si="112">AU35</f>
        <v>30540</v>
      </c>
      <c r="AW35" s="182">
        <f>29010</f>
        <v>29010</v>
      </c>
      <c r="AX35" s="182">
        <f>28681</f>
        <v>28681</v>
      </c>
      <c r="AY35" s="182">
        <f>27528</f>
        <v>27528</v>
      </c>
      <c r="AZ35" s="182">
        <f>32753</f>
        <v>32753</v>
      </c>
      <c r="BA35" s="562">
        <f t="shared" ref="BA35:BA39" si="113">+AZ35</f>
        <v>32753</v>
      </c>
      <c r="BB35" s="182">
        <f>31117</f>
        <v>31117</v>
      </c>
      <c r="BC35" s="182">
        <f>28358</f>
        <v>28358</v>
      </c>
      <c r="BD35" s="182">
        <f>24182</f>
        <v>24182</v>
      </c>
      <c r="BE35" s="182">
        <f>23490</f>
        <v>23490</v>
      </c>
      <c r="BF35" s="562">
        <f t="shared" ref="BF35:BF39" si="114">+BE35</f>
        <v>23490</v>
      </c>
      <c r="BG35" s="182">
        <f>21931</f>
        <v>21931</v>
      </c>
      <c r="BH35" s="182">
        <f>34774</f>
        <v>34774</v>
      </c>
      <c r="BI35" s="182">
        <f>32287</f>
        <v>32287</v>
      </c>
      <c r="BJ35" s="182">
        <f>31671</f>
        <v>31671</v>
      </c>
      <c r="BK35" s="562">
        <f t="shared" ref="BK35:BK39" si="115">+BJ35</f>
        <v>31671</v>
      </c>
      <c r="BL35" s="182">
        <f>31311</f>
        <v>31311</v>
      </c>
      <c r="BM35" s="182">
        <f>28812</f>
        <v>28812</v>
      </c>
      <c r="BN35" s="182">
        <f>23116</f>
        <v>23116</v>
      </c>
      <c r="BO35" s="182">
        <f>24265</f>
        <v>24265</v>
      </c>
      <c r="BP35" s="562">
        <f t="shared" ref="BP35:BP36" si="116">+BO35</f>
        <v>24265</v>
      </c>
      <c r="BQ35" s="182">
        <f>22073</f>
        <v>22073</v>
      </c>
      <c r="BR35" s="182">
        <f>19229</f>
        <v>19229</v>
      </c>
      <c r="BS35" s="182">
        <f>16336</f>
        <v>16336</v>
      </c>
      <c r="BT35" s="182">
        <f>16285</f>
        <v>16285</v>
      </c>
      <c r="BU35" s="562">
        <f t="shared" ref="BU35:BU36" si="117">+BT35</f>
        <v>16285</v>
      </c>
      <c r="BV35" s="182">
        <f>+BT35*(1+BV125)</f>
        <v>16447.849999999999</v>
      </c>
      <c r="BW35" s="182">
        <f>+BV35*(1+BW125)</f>
        <v>16612.3285</v>
      </c>
      <c r="BX35" s="182">
        <f>+BW35*(1+BX125)</f>
        <v>16778.451785000001</v>
      </c>
      <c r="BY35" s="182">
        <f>+BX35*(1+BY125)</f>
        <v>16946.23630285</v>
      </c>
      <c r="BZ35" s="562">
        <f t="shared" ref="BZ35:BZ36" si="118">+BY35</f>
        <v>16946.23630285</v>
      </c>
      <c r="CA35" s="182">
        <f>+BY35*(1+CA125)</f>
        <v>16776.773939821502</v>
      </c>
      <c r="CB35" s="182">
        <f>+CA35*(1+CB125)</f>
        <v>16944.541679219717</v>
      </c>
      <c r="CC35" s="182">
        <f>+CB35*(1+CC125)</f>
        <v>17113.987096011915</v>
      </c>
      <c r="CD35" s="182">
        <f>+CC35*(1+CD125)</f>
        <v>17285.126966972035</v>
      </c>
      <c r="CE35" s="562">
        <f t="shared" ref="CE35:CE36" si="119">+CD35</f>
        <v>17285.126966972035</v>
      </c>
    </row>
    <row r="36" spans="2:83" ht="13.35" hidden="1" customHeight="1" outlineLevel="1">
      <c r="B36" s="166" t="s">
        <v>236</v>
      </c>
      <c r="C36" s="182"/>
      <c r="D36" s="182"/>
      <c r="E36" s="182"/>
      <c r="F36" s="182"/>
      <c r="G36" s="182">
        <v>594</v>
      </c>
      <c r="H36" s="182">
        <f t="shared" si="104"/>
        <v>594</v>
      </c>
      <c r="I36" s="182"/>
      <c r="J36" s="182"/>
      <c r="K36" s="182"/>
      <c r="L36" s="182">
        <v>0</v>
      </c>
      <c r="M36" s="182">
        <f t="shared" si="105"/>
        <v>0</v>
      </c>
      <c r="N36" s="182">
        <v>0</v>
      </c>
      <c r="O36" s="182">
        <v>0</v>
      </c>
      <c r="P36" s="182">
        <v>0</v>
      </c>
      <c r="Q36" s="182">
        <v>0</v>
      </c>
      <c r="R36" s="562">
        <f t="shared" si="106"/>
        <v>0</v>
      </c>
      <c r="S36" s="182">
        <v>0</v>
      </c>
      <c r="T36" s="182">
        <v>0</v>
      </c>
      <c r="U36" s="182">
        <v>0</v>
      </c>
      <c r="V36" s="182">
        <v>0</v>
      </c>
      <c r="W36" s="562">
        <f t="shared" si="107"/>
        <v>0</v>
      </c>
      <c r="X36" s="182">
        <v>0</v>
      </c>
      <c r="Y36" s="182">
        <v>0</v>
      </c>
      <c r="Z36" s="182">
        <v>0</v>
      </c>
      <c r="AA36" s="182">
        <v>0</v>
      </c>
      <c r="AB36" s="562">
        <f t="shared" si="108"/>
        <v>0</v>
      </c>
      <c r="AC36" s="182">
        <v>0</v>
      </c>
      <c r="AD36" s="182">
        <v>0</v>
      </c>
      <c r="AE36" s="182">
        <v>0</v>
      </c>
      <c r="AF36" s="182">
        <v>0</v>
      </c>
      <c r="AG36" s="562">
        <f t="shared" ref="AG36" si="120">+AF36</f>
        <v>0</v>
      </c>
      <c r="AH36" s="182">
        <v>0</v>
      </c>
      <c r="AI36" s="182">
        <v>0</v>
      </c>
      <c r="AJ36" s="182">
        <v>0</v>
      </c>
      <c r="AK36" s="182">
        <v>0</v>
      </c>
      <c r="AL36" s="562">
        <f t="shared" ref="AL36" si="121">+AK36</f>
        <v>0</v>
      </c>
      <c r="AM36" s="182">
        <v>0</v>
      </c>
      <c r="AN36" s="182"/>
      <c r="AO36" s="182">
        <f t="shared" ref="AO36" si="122">+AN36</f>
        <v>0</v>
      </c>
      <c r="AP36" s="182">
        <f>0</f>
        <v>0</v>
      </c>
      <c r="AQ36" s="562">
        <f t="shared" si="111"/>
        <v>0</v>
      </c>
      <c r="AR36" s="182">
        <v>0</v>
      </c>
      <c r="AS36" s="182">
        <f>+AR36</f>
        <v>0</v>
      </c>
      <c r="AT36" s="182">
        <f>0</f>
        <v>0</v>
      </c>
      <c r="AU36" s="182">
        <f>0</f>
        <v>0</v>
      </c>
      <c r="AV36" s="562">
        <f t="shared" si="112"/>
        <v>0</v>
      </c>
      <c r="AW36" s="182">
        <f>0</f>
        <v>0</v>
      </c>
      <c r="AX36" s="182"/>
      <c r="AY36" s="182"/>
      <c r="AZ36" s="182"/>
      <c r="BA36" s="562">
        <f t="shared" si="113"/>
        <v>0</v>
      </c>
      <c r="BB36" s="182"/>
      <c r="BC36" s="182"/>
      <c r="BD36" s="182"/>
      <c r="BE36" s="182">
        <f t="shared" ref="BE36" si="123">+BD36</f>
        <v>0</v>
      </c>
      <c r="BF36" s="562">
        <f t="shared" si="114"/>
        <v>0</v>
      </c>
      <c r="BG36" s="182"/>
      <c r="BH36" s="182"/>
      <c r="BI36" s="182">
        <f t="shared" ref="BI36" si="124">+BH36</f>
        <v>0</v>
      </c>
      <c r="BJ36" s="182"/>
      <c r="BK36" s="562">
        <f t="shared" si="115"/>
        <v>0</v>
      </c>
      <c r="BL36" s="182"/>
      <c r="BM36" s="182"/>
      <c r="BN36" s="182"/>
      <c r="BO36" s="182"/>
      <c r="BP36" s="562">
        <f t="shared" si="116"/>
        <v>0</v>
      </c>
      <c r="BQ36" s="182">
        <f>+BO36</f>
        <v>0</v>
      </c>
      <c r="BR36" s="182">
        <f>+BQ36</f>
        <v>0</v>
      </c>
      <c r="BS36" s="182">
        <f t="shared" ref="BS36" si="125">+BR36</f>
        <v>0</v>
      </c>
      <c r="BT36" s="182"/>
      <c r="BU36" s="562">
        <f t="shared" si="117"/>
        <v>0</v>
      </c>
      <c r="BV36" s="182">
        <f>+BT36</f>
        <v>0</v>
      </c>
      <c r="BW36" s="182">
        <f>+BV36</f>
        <v>0</v>
      </c>
      <c r="BX36" s="182">
        <f t="shared" ref="BX36" si="126">+BW36</f>
        <v>0</v>
      </c>
      <c r="BY36" s="182">
        <f t="shared" ref="BY36" si="127">+BX36</f>
        <v>0</v>
      </c>
      <c r="BZ36" s="562">
        <f t="shared" si="118"/>
        <v>0</v>
      </c>
      <c r="CA36" s="182">
        <f>+BY36</f>
        <v>0</v>
      </c>
      <c r="CB36" s="182">
        <f>+CA36</f>
        <v>0</v>
      </c>
      <c r="CC36" s="182">
        <f t="shared" ref="CC36" si="128">+CB36</f>
        <v>0</v>
      </c>
      <c r="CD36" s="182">
        <f t="shared" ref="CD36" si="129">+CC36</f>
        <v>0</v>
      </c>
      <c r="CE36" s="562">
        <f t="shared" si="119"/>
        <v>0</v>
      </c>
    </row>
    <row r="37" spans="2:83" ht="13.35" customHeight="1" collapsed="1">
      <c r="B37" s="166" t="s">
        <v>390</v>
      </c>
      <c r="C37" s="244"/>
      <c r="D37" s="182"/>
      <c r="E37" s="182"/>
      <c r="F37" s="182"/>
      <c r="G37" s="182">
        <v>808</v>
      </c>
      <c r="H37" s="182">
        <f>+G37</f>
        <v>808</v>
      </c>
      <c r="I37" s="182"/>
      <c r="J37" s="182"/>
      <c r="K37" s="182"/>
      <c r="L37" s="182">
        <v>0</v>
      </c>
      <c r="M37" s="182">
        <f>+L37</f>
        <v>0</v>
      </c>
      <c r="N37" s="182">
        <v>0</v>
      </c>
      <c r="O37" s="182">
        <v>0</v>
      </c>
      <c r="P37" s="182">
        <v>0</v>
      </c>
      <c r="Q37" s="182">
        <v>0</v>
      </c>
      <c r="R37" s="562">
        <f>+Q37</f>
        <v>0</v>
      </c>
      <c r="S37" s="182">
        <v>0</v>
      </c>
      <c r="T37" s="182">
        <v>0</v>
      </c>
      <c r="U37" s="182">
        <v>0</v>
      </c>
      <c r="V37" s="182">
        <v>0</v>
      </c>
      <c r="W37" s="562">
        <f>+V37</f>
        <v>0</v>
      </c>
      <c r="X37" s="182">
        <v>0</v>
      </c>
      <c r="Y37" s="182">
        <v>0</v>
      </c>
      <c r="Z37" s="182">
        <v>0</v>
      </c>
      <c r="AA37" s="182">
        <v>0</v>
      </c>
      <c r="AB37" s="562">
        <f>+AA37</f>
        <v>0</v>
      </c>
      <c r="AC37" s="182">
        <v>0</v>
      </c>
      <c r="AD37" s="182">
        <v>0</v>
      </c>
      <c r="AE37" s="182">
        <v>0</v>
      </c>
      <c r="AF37" s="182">
        <v>0</v>
      </c>
      <c r="AG37" s="562">
        <f>+AF37</f>
        <v>0</v>
      </c>
      <c r="AH37" s="182">
        <v>0</v>
      </c>
      <c r="AI37" s="182">
        <v>0</v>
      </c>
      <c r="AJ37" s="182">
        <v>0</v>
      </c>
      <c r="AK37" s="182">
        <v>0</v>
      </c>
      <c r="AL37" s="562">
        <f>+AK37</f>
        <v>0</v>
      </c>
      <c r="AM37" s="182">
        <f>33589</f>
        <v>33589</v>
      </c>
      <c r="AN37" s="182">
        <f>31987</f>
        <v>31987</v>
      </c>
      <c r="AO37" s="182">
        <v>30696</v>
      </c>
      <c r="AP37" s="182">
        <f>44015</f>
        <v>44015</v>
      </c>
      <c r="AQ37" s="562">
        <f>+AP37</f>
        <v>44015</v>
      </c>
      <c r="AR37" s="182">
        <v>41486</v>
      </c>
      <c r="AS37" s="182">
        <f>+AR37</f>
        <v>41486</v>
      </c>
      <c r="AT37" s="182">
        <f>48392</f>
        <v>48392</v>
      </c>
      <c r="AU37" s="182">
        <f>45700</f>
        <v>45700</v>
      </c>
      <c r="AV37" s="562">
        <f>AU37</f>
        <v>45700</v>
      </c>
      <c r="AW37" s="182">
        <f>42692</f>
        <v>42692</v>
      </c>
      <c r="AX37" s="182">
        <f>40422</f>
        <v>40422</v>
      </c>
      <c r="AY37" s="182">
        <f>37320</f>
        <v>37320</v>
      </c>
      <c r="AZ37" s="182">
        <f>35914</f>
        <v>35914</v>
      </c>
      <c r="BA37" s="562">
        <f>+AZ37</f>
        <v>35914</v>
      </c>
      <c r="BB37" s="182">
        <f>33284</f>
        <v>33284</v>
      </c>
      <c r="BC37" s="182">
        <f>31335</f>
        <v>31335</v>
      </c>
      <c r="BD37" s="182">
        <f>28911</f>
        <v>28911</v>
      </c>
      <c r="BE37" s="182">
        <f>29121</f>
        <v>29121</v>
      </c>
      <c r="BF37" s="562">
        <f>+BE37</f>
        <v>29121</v>
      </c>
      <c r="BG37" s="182">
        <f>25913</f>
        <v>25913</v>
      </c>
      <c r="BH37" s="182">
        <f>22872</f>
        <v>22872</v>
      </c>
      <c r="BI37" s="182">
        <f>19655</f>
        <v>19655</v>
      </c>
      <c r="BJ37" s="182">
        <f>16885</f>
        <v>16885</v>
      </c>
      <c r="BK37" s="562">
        <f>+BJ37</f>
        <v>16885</v>
      </c>
      <c r="BL37" s="182">
        <f>27784</f>
        <v>27784</v>
      </c>
      <c r="BM37" s="182">
        <f>40437</f>
        <v>40437</v>
      </c>
      <c r="BN37" s="182">
        <f>38266</f>
        <v>38266</v>
      </c>
      <c r="BO37" s="182">
        <f>37500</f>
        <v>37500</v>
      </c>
      <c r="BP37" s="562">
        <f>+BO37</f>
        <v>37500</v>
      </c>
      <c r="BQ37" s="182">
        <f>37652</f>
        <v>37652</v>
      </c>
      <c r="BR37" s="182">
        <f>48248</f>
        <v>48248</v>
      </c>
      <c r="BS37" s="182">
        <f>47264</f>
        <v>47264</v>
      </c>
      <c r="BT37" s="182">
        <f>44959</f>
        <v>44959</v>
      </c>
      <c r="BU37" s="562">
        <f>+BT37</f>
        <v>44959</v>
      </c>
      <c r="BV37" s="182">
        <f>+BT37</f>
        <v>44959</v>
      </c>
      <c r="BW37" s="182">
        <f>+BV37</f>
        <v>44959</v>
      </c>
      <c r="BX37" s="182">
        <f>+BW37</f>
        <v>44959</v>
      </c>
      <c r="BY37" s="182">
        <f>+BX37</f>
        <v>44959</v>
      </c>
      <c r="BZ37" s="562">
        <f>+BY37</f>
        <v>44959</v>
      </c>
      <c r="CA37" s="182">
        <f>+BY37</f>
        <v>44959</v>
      </c>
      <c r="CB37" s="182">
        <f>+CA37</f>
        <v>44959</v>
      </c>
      <c r="CC37" s="182">
        <f>+CB37</f>
        <v>44959</v>
      </c>
      <c r="CD37" s="182">
        <f>+CC37</f>
        <v>44959</v>
      </c>
      <c r="CE37" s="562">
        <f>+CD37</f>
        <v>44959</v>
      </c>
    </row>
    <row r="38" spans="2:83" ht="13.35" hidden="1" customHeight="1" outlineLevel="1">
      <c r="B38" s="166" t="s">
        <v>495</v>
      </c>
      <c r="C38" s="244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562"/>
      <c r="S38" s="182"/>
      <c r="T38" s="182"/>
      <c r="U38" s="182"/>
      <c r="V38" s="182"/>
      <c r="W38" s="562"/>
      <c r="X38" s="182"/>
      <c r="Y38" s="182"/>
      <c r="Z38" s="182"/>
      <c r="AA38" s="182"/>
      <c r="AB38" s="562"/>
      <c r="AC38" s="182"/>
      <c r="AD38" s="182"/>
      <c r="AE38" s="182"/>
      <c r="AF38" s="182"/>
      <c r="AG38" s="562"/>
      <c r="AH38" s="182"/>
      <c r="AI38" s="182"/>
      <c r="AJ38" s="182"/>
      <c r="AK38" s="182"/>
      <c r="AL38" s="562"/>
      <c r="AM38" s="182"/>
      <c r="AN38" s="182"/>
      <c r="AO38" s="182"/>
      <c r="AP38" s="182"/>
      <c r="AQ38" s="562"/>
      <c r="AR38" s="182"/>
      <c r="AS38" s="182"/>
      <c r="AT38" s="182"/>
      <c r="AU38" s="182"/>
      <c r="AV38" s="562"/>
      <c r="AW38" s="182"/>
      <c r="AX38" s="182"/>
      <c r="AY38" s="182"/>
      <c r="AZ38" s="182"/>
      <c r="BA38" s="562"/>
      <c r="BB38" s="182"/>
      <c r="BC38" s="182"/>
      <c r="BD38" s="182"/>
      <c r="BE38" s="182"/>
      <c r="BF38" s="562"/>
      <c r="BG38" s="182"/>
      <c r="BH38" s="182"/>
      <c r="BI38" s="182"/>
      <c r="BJ38" s="182"/>
      <c r="BK38" s="562"/>
      <c r="BL38" s="182"/>
      <c r="BM38" s="182"/>
      <c r="BN38" s="182"/>
      <c r="BO38" s="182"/>
      <c r="BP38" s="562"/>
      <c r="BQ38" s="182"/>
      <c r="BR38" s="182"/>
      <c r="BS38" s="182"/>
      <c r="BT38" s="182"/>
      <c r="BU38" s="562"/>
      <c r="BV38" s="182"/>
      <c r="BW38" s="182"/>
      <c r="BX38" s="182"/>
      <c r="BY38" s="182"/>
      <c r="BZ38" s="562"/>
      <c r="CA38" s="182"/>
      <c r="CB38" s="182"/>
      <c r="CC38" s="182"/>
      <c r="CD38" s="182"/>
      <c r="CE38" s="562"/>
    </row>
    <row r="39" spans="2:83" ht="13.35" customHeight="1" collapsed="1">
      <c r="B39" s="166" t="s">
        <v>117</v>
      </c>
      <c r="C39" s="244"/>
      <c r="D39" s="182"/>
      <c r="E39" s="182"/>
      <c r="F39" s="182"/>
      <c r="G39" s="182">
        <v>1231</v>
      </c>
      <c r="H39" s="182">
        <f t="shared" si="104"/>
        <v>1231</v>
      </c>
      <c r="I39" s="182"/>
      <c r="J39" s="182"/>
      <c r="K39" s="182"/>
      <c r="L39" s="182">
        <v>1320</v>
      </c>
      <c r="M39" s="182">
        <f t="shared" si="105"/>
        <v>1320</v>
      </c>
      <c r="N39" s="182">
        <v>1392</v>
      </c>
      <c r="O39" s="182">
        <v>1423</v>
      </c>
      <c r="P39" s="182">
        <v>1417</v>
      </c>
      <c r="Q39" s="182">
        <v>972</v>
      </c>
      <c r="R39" s="562">
        <f t="shared" si="106"/>
        <v>972</v>
      </c>
      <c r="S39" s="182">
        <v>1042</v>
      </c>
      <c r="T39" s="182">
        <v>1115</v>
      </c>
      <c r="U39" s="182">
        <v>1154</v>
      </c>
      <c r="V39" s="182">
        <v>1205</v>
      </c>
      <c r="W39" s="562">
        <f t="shared" si="107"/>
        <v>1205</v>
      </c>
      <c r="X39" s="182">
        <v>1611</v>
      </c>
      <c r="Y39" s="182">
        <v>1884</v>
      </c>
      <c r="Z39" s="182">
        <v>2386</v>
      </c>
      <c r="AA39" s="182">
        <v>2731</v>
      </c>
      <c r="AB39" s="562">
        <f t="shared" si="108"/>
        <v>2731</v>
      </c>
      <c r="AC39" s="182">
        <v>872</v>
      </c>
      <c r="AD39" s="182">
        <v>8685</v>
      </c>
      <c r="AE39" s="182">
        <v>9401</v>
      </c>
      <c r="AF39" s="182">
        <v>11071</v>
      </c>
      <c r="AG39" s="562">
        <f t="shared" si="109"/>
        <v>11071</v>
      </c>
      <c r="AH39" s="182">
        <v>13151</v>
      </c>
      <c r="AI39" s="182">
        <v>12452</v>
      </c>
      <c r="AJ39" s="182">
        <v>11256</v>
      </c>
      <c r="AK39" s="182">
        <v>10361</v>
      </c>
      <c r="AL39" s="562">
        <f t="shared" si="110"/>
        <v>10361</v>
      </c>
      <c r="AM39" s="182">
        <v>511</v>
      </c>
      <c r="AN39" s="182">
        <v>479</v>
      </c>
      <c r="AO39" s="182">
        <v>304</v>
      </c>
      <c r="AP39" s="182">
        <f>388</f>
        <v>388</v>
      </c>
      <c r="AQ39" s="562">
        <f t="shared" si="111"/>
        <v>388</v>
      </c>
      <c r="AR39" s="182">
        <v>218</v>
      </c>
      <c r="AS39" s="182">
        <f>+AR39</f>
        <v>218</v>
      </c>
      <c r="AT39" s="182">
        <f>181</f>
        <v>181</v>
      </c>
      <c r="AU39" s="182">
        <f>367</f>
        <v>367</v>
      </c>
      <c r="AV39" s="562">
        <f t="shared" si="112"/>
        <v>367</v>
      </c>
      <c r="AW39" s="182">
        <f>1388</f>
        <v>1388</v>
      </c>
      <c r="AX39" s="182">
        <f>2499</f>
        <v>2499</v>
      </c>
      <c r="AY39" s="182">
        <f>3654</f>
        <v>3654</v>
      </c>
      <c r="AZ39" s="182">
        <f>4898</f>
        <v>4898</v>
      </c>
      <c r="BA39" s="562">
        <f t="shared" si="113"/>
        <v>4898</v>
      </c>
      <c r="BB39" s="182">
        <f>4976</f>
        <v>4976</v>
      </c>
      <c r="BC39" s="182">
        <f>5091</f>
        <v>5091</v>
      </c>
      <c r="BD39" s="182">
        <f>5322</f>
        <v>5322</v>
      </c>
      <c r="BE39" s="182">
        <f>7013</f>
        <v>7013</v>
      </c>
      <c r="BF39" s="562">
        <f t="shared" si="114"/>
        <v>7013</v>
      </c>
      <c r="BG39" s="182">
        <f>7129</f>
        <v>7129</v>
      </c>
      <c r="BH39" s="182">
        <v>5800</v>
      </c>
      <c r="BI39" s="182">
        <f>6511</f>
        <v>6511</v>
      </c>
      <c r="BJ39" s="182">
        <f>6680</f>
        <v>6680</v>
      </c>
      <c r="BK39" s="562">
        <f t="shared" si="115"/>
        <v>6680</v>
      </c>
      <c r="BL39" s="182">
        <f>7420</f>
        <v>7420</v>
      </c>
      <c r="BM39" s="182">
        <f>7727</f>
        <v>7727</v>
      </c>
      <c r="BN39" s="182">
        <f>8810</f>
        <v>8810</v>
      </c>
      <c r="BO39" s="182">
        <f>6266</f>
        <v>6266</v>
      </c>
      <c r="BP39" s="562">
        <f t="shared" ref="BP39" si="130">+BO39</f>
        <v>6266</v>
      </c>
      <c r="BQ39" s="182">
        <f>6683</f>
        <v>6683</v>
      </c>
      <c r="BR39" s="182">
        <f>7046</f>
        <v>7046</v>
      </c>
      <c r="BS39" s="182">
        <f>7206</f>
        <v>7206</v>
      </c>
      <c r="BT39" s="182">
        <f>5346</f>
        <v>5346</v>
      </c>
      <c r="BU39" s="562">
        <f t="shared" ref="BU39" si="131">+BT39</f>
        <v>5346</v>
      </c>
      <c r="BV39" s="182">
        <f>+BT39</f>
        <v>5346</v>
      </c>
      <c r="BW39" s="182">
        <f>+BV39</f>
        <v>5346</v>
      </c>
      <c r="BX39" s="182">
        <f t="shared" ref="BX39" si="132">+BW39</f>
        <v>5346</v>
      </c>
      <c r="BY39" s="182">
        <f t="shared" ref="BY39" si="133">+BX39</f>
        <v>5346</v>
      </c>
      <c r="BZ39" s="562">
        <f t="shared" ref="BZ39" si="134">+BY39</f>
        <v>5346</v>
      </c>
      <c r="CA39" s="182">
        <f>+BY39</f>
        <v>5346</v>
      </c>
      <c r="CB39" s="182">
        <f>+CA39</f>
        <v>5346</v>
      </c>
      <c r="CC39" s="182">
        <f t="shared" ref="CC39" si="135">+CB39</f>
        <v>5346</v>
      </c>
      <c r="CD39" s="182">
        <f t="shared" ref="CD39" si="136">+CC39</f>
        <v>5346</v>
      </c>
      <c r="CE39" s="562">
        <f t="shared" ref="CE39" si="137">+CD39</f>
        <v>5346</v>
      </c>
    </row>
    <row r="40" spans="2:83" ht="3.75" customHeight="1">
      <c r="B40" s="166"/>
      <c r="C40" s="244"/>
      <c r="D40" s="188" t="s">
        <v>0</v>
      </c>
      <c r="E40" s="188" t="s">
        <v>0</v>
      </c>
      <c r="F40" s="188" t="s">
        <v>0</v>
      </c>
      <c r="G40" s="188" t="s">
        <v>0</v>
      </c>
      <c r="H40" s="188" t="s">
        <v>0</v>
      </c>
      <c r="I40" s="188" t="s">
        <v>0</v>
      </c>
      <c r="J40" s="188" t="s">
        <v>0</v>
      </c>
      <c r="K40" s="188" t="s">
        <v>0</v>
      </c>
      <c r="L40" s="188" t="s">
        <v>0</v>
      </c>
      <c r="M40" s="188" t="s">
        <v>0</v>
      </c>
      <c r="N40" s="188" t="s">
        <v>0</v>
      </c>
      <c r="O40" s="188" t="s">
        <v>0</v>
      </c>
      <c r="P40" s="188" t="s">
        <v>0</v>
      </c>
      <c r="Q40" s="188" t="s">
        <v>0</v>
      </c>
      <c r="R40" s="596" t="s">
        <v>0</v>
      </c>
      <c r="S40" s="188" t="s">
        <v>0</v>
      </c>
      <c r="T40" s="188" t="s">
        <v>0</v>
      </c>
      <c r="U40" s="188" t="s">
        <v>0</v>
      </c>
      <c r="V40" s="188" t="s">
        <v>0</v>
      </c>
      <c r="W40" s="596" t="s">
        <v>0</v>
      </c>
      <c r="X40" s="188" t="s">
        <v>0</v>
      </c>
      <c r="Y40" s="188" t="s">
        <v>0</v>
      </c>
      <c r="Z40" s="188" t="s">
        <v>0</v>
      </c>
      <c r="AA40" s="188" t="s">
        <v>0</v>
      </c>
      <c r="AB40" s="596" t="s">
        <v>0</v>
      </c>
      <c r="AC40" s="188" t="s">
        <v>0</v>
      </c>
      <c r="AD40" s="188" t="s">
        <v>0</v>
      </c>
      <c r="AE40" s="188" t="s">
        <v>0</v>
      </c>
      <c r="AF40" s="188" t="s">
        <v>0</v>
      </c>
      <c r="AG40" s="596" t="s">
        <v>0</v>
      </c>
      <c r="AH40" s="188" t="s">
        <v>0</v>
      </c>
      <c r="AI40" s="188" t="s">
        <v>0</v>
      </c>
      <c r="AJ40" s="188" t="s">
        <v>0</v>
      </c>
      <c r="AK40" s="188" t="s">
        <v>0</v>
      </c>
      <c r="AL40" s="596" t="s">
        <v>0</v>
      </c>
      <c r="AM40" s="188" t="s">
        <v>0</v>
      </c>
      <c r="AN40" s="188" t="s">
        <v>0</v>
      </c>
      <c r="AO40" s="188" t="s">
        <v>0</v>
      </c>
      <c r="AP40" s="188" t="s">
        <v>0</v>
      </c>
      <c r="AQ40" s="596" t="s">
        <v>0</v>
      </c>
      <c r="AR40" s="188" t="s">
        <v>0</v>
      </c>
      <c r="AS40" s="188" t="s">
        <v>0</v>
      </c>
      <c r="AT40" s="188" t="s">
        <v>0</v>
      </c>
      <c r="AU40" s="188" t="s">
        <v>0</v>
      </c>
      <c r="AV40" s="596" t="s">
        <v>0</v>
      </c>
      <c r="AW40" s="188" t="s">
        <v>0</v>
      </c>
      <c r="AX40" s="188" t="s">
        <v>0</v>
      </c>
      <c r="AY40" s="188" t="s">
        <v>0</v>
      </c>
      <c r="AZ40" s="188" t="s">
        <v>0</v>
      </c>
      <c r="BA40" s="596" t="s">
        <v>0</v>
      </c>
      <c r="BB40" s="188" t="s">
        <v>0</v>
      </c>
      <c r="BC40" s="188" t="s">
        <v>0</v>
      </c>
      <c r="BD40" s="188" t="s">
        <v>0</v>
      </c>
      <c r="BE40" s="188" t="s">
        <v>0</v>
      </c>
      <c r="BF40" s="596" t="s">
        <v>0</v>
      </c>
      <c r="BG40" s="188" t="s">
        <v>0</v>
      </c>
      <c r="BH40" s="188" t="s">
        <v>0</v>
      </c>
      <c r="BI40" s="188" t="s">
        <v>0</v>
      </c>
      <c r="BJ40" s="188" t="s">
        <v>0</v>
      </c>
      <c r="BK40" s="596" t="s">
        <v>0</v>
      </c>
      <c r="BL40" s="188" t="s">
        <v>0</v>
      </c>
      <c r="BM40" s="188" t="s">
        <v>0</v>
      </c>
      <c r="BN40" s="188" t="s">
        <v>0</v>
      </c>
      <c r="BO40" s="188" t="s">
        <v>0</v>
      </c>
      <c r="BP40" s="596" t="s">
        <v>0</v>
      </c>
      <c r="BQ40" s="188" t="s">
        <v>0</v>
      </c>
      <c r="BR40" s="188" t="s">
        <v>0</v>
      </c>
      <c r="BS40" s="188" t="s">
        <v>0</v>
      </c>
      <c r="BT40" s="188" t="s">
        <v>0</v>
      </c>
      <c r="BU40" s="596" t="s">
        <v>0</v>
      </c>
      <c r="BV40" s="188" t="s">
        <v>0</v>
      </c>
      <c r="BW40" s="188" t="s">
        <v>0</v>
      </c>
      <c r="BX40" s="188" t="s">
        <v>0</v>
      </c>
      <c r="BY40" s="188" t="s">
        <v>0</v>
      </c>
      <c r="BZ40" s="596" t="s">
        <v>0</v>
      </c>
      <c r="CA40" s="188" t="s">
        <v>0</v>
      </c>
      <c r="CB40" s="188" t="s">
        <v>0</v>
      </c>
      <c r="CC40" s="188" t="s">
        <v>0</v>
      </c>
      <c r="CD40" s="188" t="s">
        <v>0</v>
      </c>
      <c r="CE40" s="596" t="s">
        <v>0</v>
      </c>
    </row>
    <row r="41" spans="2:83" ht="13.35" customHeight="1">
      <c r="B41" s="190" t="s">
        <v>107</v>
      </c>
      <c r="C41" s="179"/>
      <c r="D41" s="179">
        <f t="shared" ref="D41:AI41" si="138">SUM(D32:D39)</f>
        <v>0</v>
      </c>
      <c r="E41" s="179">
        <f t="shared" si="138"/>
        <v>0</v>
      </c>
      <c r="F41" s="179">
        <f t="shared" si="138"/>
        <v>0</v>
      </c>
      <c r="G41" s="179">
        <f t="shared" si="138"/>
        <v>78763</v>
      </c>
      <c r="H41" s="179">
        <f t="shared" si="138"/>
        <v>78763</v>
      </c>
      <c r="I41" s="179">
        <f t="shared" si="138"/>
        <v>0</v>
      </c>
      <c r="J41" s="179">
        <f t="shared" si="138"/>
        <v>0</v>
      </c>
      <c r="K41" s="179">
        <f t="shared" si="138"/>
        <v>0</v>
      </c>
      <c r="L41" s="179">
        <f t="shared" si="138"/>
        <v>89486</v>
      </c>
      <c r="M41" s="179">
        <f t="shared" si="138"/>
        <v>89486</v>
      </c>
      <c r="N41" s="179">
        <f t="shared" si="138"/>
        <v>92710</v>
      </c>
      <c r="O41" s="179">
        <f t="shared" si="138"/>
        <v>92451</v>
      </c>
      <c r="P41" s="179">
        <f t="shared" si="138"/>
        <v>95718</v>
      </c>
      <c r="Q41" s="179">
        <f t="shared" si="138"/>
        <v>108197</v>
      </c>
      <c r="R41" s="555">
        <f t="shared" si="138"/>
        <v>108197</v>
      </c>
      <c r="S41" s="179">
        <f t="shared" si="138"/>
        <v>111634</v>
      </c>
      <c r="T41" s="179">
        <f t="shared" si="138"/>
        <v>109877</v>
      </c>
      <c r="U41" s="179">
        <f t="shared" si="138"/>
        <v>116390</v>
      </c>
      <c r="V41" s="179">
        <f t="shared" si="138"/>
        <v>127948</v>
      </c>
      <c r="W41" s="555">
        <f t="shared" si="138"/>
        <v>127948</v>
      </c>
      <c r="X41" s="179">
        <f t="shared" si="138"/>
        <v>132166</v>
      </c>
      <c r="Y41" s="179">
        <f t="shared" si="138"/>
        <v>141414</v>
      </c>
      <c r="Z41" s="179">
        <f t="shared" si="138"/>
        <v>143643</v>
      </c>
      <c r="AA41" s="179">
        <f t="shared" si="138"/>
        <v>148591</v>
      </c>
      <c r="AB41" s="555">
        <f t="shared" si="138"/>
        <v>148591</v>
      </c>
      <c r="AC41" s="179">
        <f t="shared" si="138"/>
        <v>157053</v>
      </c>
      <c r="AD41" s="179">
        <f t="shared" si="138"/>
        <v>165884</v>
      </c>
      <c r="AE41" s="179">
        <f t="shared" si="138"/>
        <v>173686</v>
      </c>
      <c r="AF41" s="179">
        <f t="shared" si="138"/>
        <v>193981</v>
      </c>
      <c r="AG41" s="555">
        <f t="shared" si="138"/>
        <v>193981</v>
      </c>
      <c r="AH41" s="179">
        <f t="shared" si="138"/>
        <v>199293</v>
      </c>
      <c r="AI41" s="179">
        <f t="shared" si="138"/>
        <v>205676</v>
      </c>
      <c r="AJ41" s="179">
        <f t="shared" ref="AJ41:BK41" si="139">SUM(AJ32:AJ39)</f>
        <v>211860</v>
      </c>
      <c r="AK41" s="179">
        <f t="shared" si="139"/>
        <v>227691</v>
      </c>
      <c r="AL41" s="555">
        <f t="shared" si="139"/>
        <v>227691</v>
      </c>
      <c r="AM41" s="179">
        <f t="shared" si="139"/>
        <v>262738</v>
      </c>
      <c r="AN41" s="179">
        <f t="shared" si="139"/>
        <v>262014</v>
      </c>
      <c r="AO41" s="179">
        <f t="shared" si="139"/>
        <v>264901</v>
      </c>
      <c r="AP41" s="179">
        <f t="shared" si="139"/>
        <v>288805</v>
      </c>
      <c r="AQ41" s="555">
        <f t="shared" si="139"/>
        <v>288805</v>
      </c>
      <c r="AR41" s="179">
        <f t="shared" si="139"/>
        <v>297762</v>
      </c>
      <c r="AS41" s="179">
        <f t="shared" si="139"/>
        <v>298625</v>
      </c>
      <c r="AT41" s="179">
        <f t="shared" si="139"/>
        <v>306785</v>
      </c>
      <c r="AU41" s="179">
        <f t="shared" si="139"/>
        <v>332337</v>
      </c>
      <c r="AV41" s="555">
        <f t="shared" si="139"/>
        <v>332337</v>
      </c>
      <c r="AW41" s="179">
        <f t="shared" si="139"/>
        <v>332834</v>
      </c>
      <c r="AX41" s="179">
        <f t="shared" si="139"/>
        <v>344310</v>
      </c>
      <c r="AY41" s="179">
        <f t="shared" si="139"/>
        <v>353194</v>
      </c>
      <c r="AZ41" s="179">
        <f t="shared" si="139"/>
        <v>377845</v>
      </c>
      <c r="BA41" s="555">
        <f t="shared" si="139"/>
        <v>377845</v>
      </c>
      <c r="BB41" s="179">
        <f t="shared" si="139"/>
        <v>387915</v>
      </c>
      <c r="BC41" s="179">
        <f t="shared" si="139"/>
        <v>392173</v>
      </c>
      <c r="BD41" s="179">
        <f t="shared" si="139"/>
        <v>392445</v>
      </c>
      <c r="BE41" s="179">
        <f t="shared" si="139"/>
        <v>411812</v>
      </c>
      <c r="BF41" s="555">
        <f t="shared" si="139"/>
        <v>411812</v>
      </c>
      <c r="BG41" s="179">
        <f t="shared" si="139"/>
        <v>407931</v>
      </c>
      <c r="BH41" s="179">
        <f t="shared" si="139"/>
        <v>432566</v>
      </c>
      <c r="BI41" s="179">
        <f t="shared" si="139"/>
        <v>428944</v>
      </c>
      <c r="BJ41" s="179">
        <f t="shared" si="139"/>
        <v>444444</v>
      </c>
      <c r="BK41" s="555">
        <f t="shared" si="139"/>
        <v>444444</v>
      </c>
      <c r="BL41" s="179">
        <f t="shared" ref="BL41:BP41" si="140">SUM(BL32:BL39)</f>
        <v>457580</v>
      </c>
      <c r="BM41" s="179">
        <f t="shared" si="140"/>
        <v>448805</v>
      </c>
      <c r="BN41" s="179">
        <f t="shared" si="140"/>
        <v>458728</v>
      </c>
      <c r="BO41" s="179">
        <f t="shared" si="140"/>
        <v>496421</v>
      </c>
      <c r="BP41" s="555">
        <f t="shared" si="140"/>
        <v>496421</v>
      </c>
      <c r="BQ41" s="179">
        <f t="shared" ref="BQ41:BU41" si="141">SUM(BQ32:BQ39)</f>
        <v>498436</v>
      </c>
      <c r="BR41" s="179">
        <f t="shared" si="141"/>
        <v>491338</v>
      </c>
      <c r="BS41" s="179">
        <f t="shared" si="141"/>
        <v>502586</v>
      </c>
      <c r="BT41" s="179">
        <f t="shared" si="141"/>
        <v>533928</v>
      </c>
      <c r="BU41" s="555">
        <f t="shared" si="141"/>
        <v>533928</v>
      </c>
      <c r="BV41" s="179">
        <f t="shared" ref="BV41:BZ41" si="142">SUM(BV32:BV39)</f>
        <v>530848.50086222216</v>
      </c>
      <c r="BW41" s="179">
        <f t="shared" si="142"/>
        <v>516130.80777500005</v>
      </c>
      <c r="BX41" s="179">
        <f t="shared" si="142"/>
        <v>535896.0733254666</v>
      </c>
      <c r="BY41" s="179">
        <f t="shared" si="142"/>
        <v>574381.91410541662</v>
      </c>
      <c r="BZ41" s="555">
        <f t="shared" si="142"/>
        <v>574381.91410541662</v>
      </c>
      <c r="CA41" s="179">
        <f t="shared" ref="CA41:CE41" si="143">SUM(CA32:CA39)</f>
        <v>570643.41728443082</v>
      </c>
      <c r="CB41" s="179">
        <f t="shared" si="143"/>
        <v>541377.71426131926</v>
      </c>
      <c r="CC41" s="179">
        <f t="shared" si="143"/>
        <v>566467.50743002584</v>
      </c>
      <c r="CD41" s="179">
        <f t="shared" si="143"/>
        <v>610402.39909460861</v>
      </c>
      <c r="CE41" s="555">
        <f t="shared" si="143"/>
        <v>610402.39909460861</v>
      </c>
    </row>
    <row r="42" spans="2:83" ht="4.5" customHeight="1">
      <c r="B42" s="166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562"/>
      <c r="S42" s="182"/>
      <c r="T42" s="182"/>
      <c r="U42" s="182"/>
      <c r="V42" s="182"/>
      <c r="W42" s="562"/>
      <c r="X42" s="182"/>
      <c r="Y42" s="182"/>
      <c r="Z42" s="182"/>
      <c r="AA42" s="182"/>
      <c r="AB42" s="562"/>
      <c r="AC42" s="182"/>
      <c r="AD42" s="182"/>
      <c r="AE42" s="182"/>
      <c r="AF42" s="182"/>
      <c r="AG42" s="562"/>
      <c r="AH42" s="182"/>
      <c r="AI42" s="182"/>
      <c r="AJ42" s="182"/>
      <c r="AK42" s="182"/>
      <c r="AL42" s="562"/>
      <c r="AM42" s="182"/>
      <c r="AN42" s="182"/>
      <c r="AO42" s="182"/>
      <c r="AP42" s="182"/>
      <c r="AQ42" s="562"/>
      <c r="AR42" s="182"/>
      <c r="AS42" s="182"/>
      <c r="AT42" s="182"/>
      <c r="AU42" s="182"/>
      <c r="AV42" s="562"/>
      <c r="AW42" s="182"/>
      <c r="AX42" s="182"/>
      <c r="AY42" s="182"/>
      <c r="AZ42" s="182"/>
      <c r="BA42" s="562"/>
      <c r="BB42" s="182"/>
      <c r="BC42" s="182"/>
      <c r="BD42" s="182"/>
      <c r="BE42" s="182"/>
      <c r="BF42" s="562"/>
      <c r="BG42" s="182"/>
      <c r="BH42" s="182"/>
      <c r="BI42" s="182"/>
      <c r="BJ42" s="182"/>
      <c r="BK42" s="562"/>
      <c r="BL42" s="182"/>
      <c r="BM42" s="182"/>
      <c r="BN42" s="182"/>
      <c r="BO42" s="182"/>
      <c r="BP42" s="562"/>
      <c r="BQ42" s="182"/>
      <c r="BR42" s="182"/>
      <c r="BS42" s="182"/>
      <c r="BT42" s="182"/>
      <c r="BU42" s="562"/>
      <c r="BV42" s="182"/>
      <c r="BW42" s="182"/>
      <c r="BX42" s="182"/>
      <c r="BY42" s="182"/>
      <c r="BZ42" s="562"/>
      <c r="CA42" s="182"/>
      <c r="CB42" s="182"/>
      <c r="CC42" s="182"/>
      <c r="CD42" s="182"/>
      <c r="CE42" s="562"/>
    </row>
    <row r="43" spans="2:83" ht="13.35" customHeight="1">
      <c r="B43" s="190" t="s">
        <v>108</v>
      </c>
      <c r="C43" s="179"/>
      <c r="D43" s="179"/>
      <c r="E43" s="179"/>
      <c r="F43" s="179"/>
      <c r="G43" s="179">
        <v>91555</v>
      </c>
      <c r="H43" s="179">
        <f>+G43</f>
        <v>91555</v>
      </c>
      <c r="I43" s="179"/>
      <c r="J43" s="179"/>
      <c r="K43" s="179"/>
      <c r="L43" s="179">
        <v>103117</v>
      </c>
      <c r="M43" s="179">
        <f>+L43</f>
        <v>103117</v>
      </c>
      <c r="N43" s="179">
        <v>106127</v>
      </c>
      <c r="O43" s="179">
        <v>112121</v>
      </c>
      <c r="P43" s="179">
        <v>119693</v>
      </c>
      <c r="Q43" s="179">
        <v>151827</v>
      </c>
      <c r="R43" s="555">
        <f>+Q43</f>
        <v>151827</v>
      </c>
      <c r="S43" s="179">
        <v>162274</v>
      </c>
      <c r="T43" s="179">
        <v>172168</v>
      </c>
      <c r="U43" s="179">
        <v>181898</v>
      </c>
      <c r="V43" s="179">
        <v>195566</v>
      </c>
      <c r="W43" s="555">
        <f>+V43</f>
        <v>195566</v>
      </c>
      <c r="X43" s="179">
        <v>210496</v>
      </c>
      <c r="Y43" s="179">
        <v>227437</v>
      </c>
      <c r="Z43" s="179">
        <v>241393</v>
      </c>
      <c r="AA43" s="179">
        <v>258413</v>
      </c>
      <c r="AB43" s="555">
        <f>+AA43</f>
        <v>258413</v>
      </c>
      <c r="AC43" s="179">
        <v>284468</v>
      </c>
      <c r="AD43" s="179">
        <v>306062</v>
      </c>
      <c r="AE43" s="179">
        <v>327641</v>
      </c>
      <c r="AF43" s="179">
        <v>343544</v>
      </c>
      <c r="AG43" s="555">
        <f>+AF43</f>
        <v>343544</v>
      </c>
      <c r="AH43" s="179">
        <v>366319</v>
      </c>
      <c r="AI43" s="179">
        <v>365239</v>
      </c>
      <c r="AJ43" s="179">
        <v>374140</v>
      </c>
      <c r="AK43" s="179">
        <v>357989</v>
      </c>
      <c r="AL43" s="555">
        <f>+AK43</f>
        <v>357989</v>
      </c>
      <c r="AM43" s="179">
        <v>373404</v>
      </c>
      <c r="AN43" s="179">
        <v>383598</v>
      </c>
      <c r="AO43" s="179">
        <v>361023</v>
      </c>
      <c r="AP43" s="179">
        <f>386803</f>
        <v>386803</v>
      </c>
      <c r="AQ43" s="555">
        <f>+AP43</f>
        <v>386803</v>
      </c>
      <c r="AR43" s="179">
        <v>386730</v>
      </c>
      <c r="AS43" s="179">
        <f>+AS23-AS41</f>
        <v>408390</v>
      </c>
      <c r="AT43" s="179">
        <f>400299</f>
        <v>400299</v>
      </c>
      <c r="AU43" s="179">
        <f>404482</f>
        <v>404482</v>
      </c>
      <c r="AV43" s="555">
        <f>AU43</f>
        <v>404482</v>
      </c>
      <c r="AW43" s="179">
        <f>397108</f>
        <v>397108</v>
      </c>
      <c r="AX43" s="179">
        <f>392995</f>
        <v>392995</v>
      </c>
      <c r="AY43" s="179">
        <f>402986</f>
        <v>402986</v>
      </c>
      <c r="AZ43" s="179">
        <f>+AZ23-AZ41</f>
        <v>436714</v>
      </c>
      <c r="BA43" s="555">
        <f>+AZ43</f>
        <v>436714</v>
      </c>
      <c r="BB43" s="179">
        <f>426635</f>
        <v>426635</v>
      </c>
      <c r="BC43" s="179">
        <f>396838</f>
        <v>396838</v>
      </c>
      <c r="BD43" s="179">
        <f>355186</f>
        <v>355186</v>
      </c>
      <c r="BE43" s="179">
        <f>+BE23-BE41</f>
        <v>289129</v>
      </c>
      <c r="BF43" s="555">
        <f>+BE43</f>
        <v>289129</v>
      </c>
      <c r="BG43" s="179">
        <f>267822</f>
        <v>267822</v>
      </c>
      <c r="BH43" s="179">
        <f>277018</f>
        <v>277018</v>
      </c>
      <c r="BI43" s="179">
        <f>+BI23-BI41</f>
        <v>322917</v>
      </c>
      <c r="BJ43" s="179">
        <f>+BJ23-BJ41</f>
        <v>368174</v>
      </c>
      <c r="BK43" s="555">
        <f>+BJ43</f>
        <v>368174</v>
      </c>
      <c r="BL43" s="179">
        <f>+BL23-BL41</f>
        <v>404202</v>
      </c>
      <c r="BM43" s="179">
        <f>+BM23-BM41</f>
        <v>427795</v>
      </c>
      <c r="BN43" s="179">
        <f>449595</f>
        <v>449595</v>
      </c>
      <c r="BO43" s="179">
        <f>477116</f>
        <v>477116</v>
      </c>
      <c r="BP43" s="555">
        <f>+BO43</f>
        <v>477116</v>
      </c>
      <c r="BQ43" s="179">
        <f>498035</f>
        <v>498035</v>
      </c>
      <c r="BR43" s="179">
        <f>508167</f>
        <v>508167</v>
      </c>
      <c r="BS43" s="179">
        <f>529403</f>
        <v>529403</v>
      </c>
      <c r="BT43" s="179">
        <f>561153</f>
        <v>561153</v>
      </c>
      <c r="BU43" s="555">
        <f>+BT43</f>
        <v>561153</v>
      </c>
      <c r="BV43" s="179">
        <f>+BV23-BV41</f>
        <v>628783.41796650016</v>
      </c>
      <c r="BW43" s="179">
        <f>+BW23-BW41</f>
        <v>694625.04890749999</v>
      </c>
      <c r="BX43" s="179">
        <f>+BX23-BX41</f>
        <v>762184.96908845007</v>
      </c>
      <c r="BY43" s="179">
        <f>+BY23-BY41</f>
        <v>829619.9375150624</v>
      </c>
      <c r="BZ43" s="555">
        <f>+BY43</f>
        <v>829619.9375150624</v>
      </c>
      <c r="CA43" s="179">
        <f>+CA23-CA41</f>
        <v>898736.72241571557</v>
      </c>
      <c r="CB43" s="179">
        <f>+CB23-CB41</f>
        <v>969343.08191551431</v>
      </c>
      <c r="CC43" s="179">
        <f>+CC23-CC41</f>
        <v>1042765.5976509827</v>
      </c>
      <c r="CD43" s="179">
        <f>+CD23-CD41</f>
        <v>1119494.4202171681</v>
      </c>
      <c r="CE43" s="555">
        <f>+CD43</f>
        <v>1119494.4202171681</v>
      </c>
    </row>
    <row r="44" spans="2:83" ht="3" customHeight="1">
      <c r="B44" s="166"/>
      <c r="C44" s="182"/>
      <c r="D44" s="188" t="s">
        <v>0</v>
      </c>
      <c r="E44" s="188" t="s">
        <v>0</v>
      </c>
      <c r="F44" s="188" t="s">
        <v>0</v>
      </c>
      <c r="G44" s="188" t="s">
        <v>0</v>
      </c>
      <c r="H44" s="188" t="s">
        <v>0</v>
      </c>
      <c r="I44" s="188" t="s">
        <v>0</v>
      </c>
      <c r="J44" s="188" t="s">
        <v>0</v>
      </c>
      <c r="K44" s="188" t="s">
        <v>0</v>
      </c>
      <c r="L44" s="188" t="s">
        <v>0</v>
      </c>
      <c r="M44" s="188" t="s">
        <v>0</v>
      </c>
      <c r="N44" s="188" t="s">
        <v>0</v>
      </c>
      <c r="O44" s="188" t="s">
        <v>0</v>
      </c>
      <c r="P44" s="188" t="s">
        <v>0</v>
      </c>
      <c r="Q44" s="188" t="s">
        <v>0</v>
      </c>
      <c r="R44" s="596" t="s">
        <v>0</v>
      </c>
      <c r="S44" s="188" t="s">
        <v>0</v>
      </c>
      <c r="T44" s="188" t="s">
        <v>0</v>
      </c>
      <c r="U44" s="188" t="s">
        <v>0</v>
      </c>
      <c r="V44" s="188" t="s">
        <v>0</v>
      </c>
      <c r="W44" s="596" t="s">
        <v>0</v>
      </c>
      <c r="X44" s="188" t="s">
        <v>0</v>
      </c>
      <c r="Y44" s="188" t="s">
        <v>0</v>
      </c>
      <c r="Z44" s="188" t="s">
        <v>0</v>
      </c>
      <c r="AA44" s="188" t="s">
        <v>0</v>
      </c>
      <c r="AB44" s="596" t="s">
        <v>0</v>
      </c>
      <c r="AC44" s="188" t="s">
        <v>0</v>
      </c>
      <c r="AD44" s="188" t="s">
        <v>0</v>
      </c>
      <c r="AE44" s="188" t="s">
        <v>0</v>
      </c>
      <c r="AF44" s="188" t="s">
        <v>0</v>
      </c>
      <c r="AG44" s="596" t="s">
        <v>0</v>
      </c>
      <c r="AH44" s="188" t="s">
        <v>0</v>
      </c>
      <c r="AI44" s="188" t="s">
        <v>0</v>
      </c>
      <c r="AJ44" s="188" t="s">
        <v>0</v>
      </c>
      <c r="AK44" s="188" t="s">
        <v>0</v>
      </c>
      <c r="AL44" s="596" t="s">
        <v>0</v>
      </c>
      <c r="AM44" s="188" t="s">
        <v>0</v>
      </c>
      <c r="AN44" s="188" t="s">
        <v>0</v>
      </c>
      <c r="AO44" s="188" t="s">
        <v>0</v>
      </c>
      <c r="AP44" s="188" t="s">
        <v>0</v>
      </c>
      <c r="AQ44" s="596" t="s">
        <v>0</v>
      </c>
      <c r="AR44" s="188" t="s">
        <v>0</v>
      </c>
      <c r="AS44" s="188" t="s">
        <v>0</v>
      </c>
      <c r="AT44" s="188" t="s">
        <v>0</v>
      </c>
      <c r="AU44" s="188" t="s">
        <v>0</v>
      </c>
      <c r="AV44" s="596" t="s">
        <v>0</v>
      </c>
      <c r="AW44" s="188" t="s">
        <v>0</v>
      </c>
      <c r="AX44" s="188" t="s">
        <v>0</v>
      </c>
      <c r="AY44" s="188" t="s">
        <v>0</v>
      </c>
      <c r="AZ44" s="188" t="s">
        <v>0</v>
      </c>
      <c r="BA44" s="596" t="s">
        <v>0</v>
      </c>
      <c r="BB44" s="188" t="s">
        <v>0</v>
      </c>
      <c r="BC44" s="188" t="s">
        <v>0</v>
      </c>
      <c r="BD44" s="188" t="s">
        <v>0</v>
      </c>
      <c r="BE44" s="188" t="s">
        <v>0</v>
      </c>
      <c r="BF44" s="596" t="s">
        <v>0</v>
      </c>
      <c r="BG44" s="188" t="s">
        <v>0</v>
      </c>
      <c r="BH44" s="188" t="s">
        <v>0</v>
      </c>
      <c r="BI44" s="188" t="s">
        <v>0</v>
      </c>
      <c r="BJ44" s="188" t="s">
        <v>0</v>
      </c>
      <c r="BK44" s="596" t="s">
        <v>0</v>
      </c>
      <c r="BL44" s="188" t="s">
        <v>0</v>
      </c>
      <c r="BM44" s="188" t="s">
        <v>0</v>
      </c>
      <c r="BN44" s="188" t="s">
        <v>0</v>
      </c>
      <c r="BO44" s="188" t="s">
        <v>0</v>
      </c>
      <c r="BP44" s="596" t="s">
        <v>0</v>
      </c>
      <c r="BQ44" s="188" t="s">
        <v>0</v>
      </c>
      <c r="BR44" s="188" t="s">
        <v>0</v>
      </c>
      <c r="BS44" s="188" t="s">
        <v>0</v>
      </c>
      <c r="BT44" s="188" t="s">
        <v>0</v>
      </c>
      <c r="BU44" s="596" t="s">
        <v>0</v>
      </c>
      <c r="BV44" s="188" t="s">
        <v>0</v>
      </c>
      <c r="BW44" s="188" t="s">
        <v>0</v>
      </c>
      <c r="BX44" s="188" t="s">
        <v>0</v>
      </c>
      <c r="BY44" s="188" t="s">
        <v>0</v>
      </c>
      <c r="BZ44" s="596" t="s">
        <v>0</v>
      </c>
      <c r="CA44" s="188" t="s">
        <v>0</v>
      </c>
      <c r="CB44" s="188" t="s">
        <v>0</v>
      </c>
      <c r="CC44" s="188" t="s">
        <v>0</v>
      </c>
      <c r="CD44" s="188" t="s">
        <v>0</v>
      </c>
      <c r="CE44" s="596" t="s">
        <v>0</v>
      </c>
    </row>
    <row r="45" spans="2:83" ht="13.35" customHeight="1">
      <c r="B45" s="190" t="s">
        <v>109</v>
      </c>
      <c r="C45" s="179"/>
      <c r="D45" s="179">
        <f t="shared" ref="D45:F45" si="144">+D43+D41</f>
        <v>0</v>
      </c>
      <c r="E45" s="179">
        <f t="shared" si="144"/>
        <v>0</v>
      </c>
      <c r="F45" s="179">
        <f t="shared" si="144"/>
        <v>0</v>
      </c>
      <c r="G45" s="179">
        <f t="shared" ref="G45:H45" si="145">+G43+G41</f>
        <v>170318</v>
      </c>
      <c r="H45" s="179">
        <f t="shared" si="145"/>
        <v>170318</v>
      </c>
      <c r="I45" s="179">
        <f t="shared" ref="I45:M45" si="146">+I43+I41</f>
        <v>0</v>
      </c>
      <c r="J45" s="179">
        <f t="shared" si="146"/>
        <v>0</v>
      </c>
      <c r="K45" s="179">
        <f t="shared" si="146"/>
        <v>0</v>
      </c>
      <c r="L45" s="179">
        <f t="shared" si="146"/>
        <v>192603</v>
      </c>
      <c r="M45" s="179">
        <f t="shared" si="146"/>
        <v>192603</v>
      </c>
      <c r="N45" s="179">
        <f t="shared" ref="N45:X45" si="147">+N43+N41</f>
        <v>198837</v>
      </c>
      <c r="O45" s="179">
        <f t="shared" si="147"/>
        <v>204572</v>
      </c>
      <c r="P45" s="179">
        <f t="shared" si="147"/>
        <v>215411</v>
      </c>
      <c r="Q45" s="179">
        <f t="shared" si="147"/>
        <v>260024</v>
      </c>
      <c r="R45" s="555">
        <f t="shared" si="147"/>
        <v>260024</v>
      </c>
      <c r="S45" s="179">
        <f t="shared" si="147"/>
        <v>273908</v>
      </c>
      <c r="T45" s="179">
        <f t="shared" si="147"/>
        <v>282045</v>
      </c>
      <c r="U45" s="179">
        <f t="shared" si="147"/>
        <v>298288</v>
      </c>
      <c r="V45" s="179">
        <f>+V43+V41</f>
        <v>323514</v>
      </c>
      <c r="W45" s="555">
        <f t="shared" ref="W45" si="148">+W43+W41</f>
        <v>323514</v>
      </c>
      <c r="X45" s="179">
        <f t="shared" si="147"/>
        <v>342662</v>
      </c>
      <c r="Y45" s="179">
        <f t="shared" ref="Y45:AF45" si="149">+Y43+Y41</f>
        <v>368851</v>
      </c>
      <c r="Z45" s="179">
        <f t="shared" si="149"/>
        <v>385036</v>
      </c>
      <c r="AA45" s="179">
        <f t="shared" si="149"/>
        <v>407004</v>
      </c>
      <c r="AB45" s="555">
        <f t="shared" si="149"/>
        <v>407004</v>
      </c>
      <c r="AC45" s="179">
        <f t="shared" si="149"/>
        <v>441521</v>
      </c>
      <c r="AD45" s="179">
        <f t="shared" si="149"/>
        <v>471946</v>
      </c>
      <c r="AE45" s="179">
        <f t="shared" si="149"/>
        <v>501327</v>
      </c>
      <c r="AF45" s="179">
        <f t="shared" si="149"/>
        <v>537525</v>
      </c>
      <c r="AG45" s="555">
        <f t="shared" ref="AG45:AK45" si="150">+AG43+AG41</f>
        <v>537525</v>
      </c>
      <c r="AH45" s="179">
        <f t="shared" si="150"/>
        <v>565612</v>
      </c>
      <c r="AI45" s="179">
        <f t="shared" si="150"/>
        <v>570915</v>
      </c>
      <c r="AJ45" s="179">
        <f t="shared" si="150"/>
        <v>586000</v>
      </c>
      <c r="AK45" s="179">
        <f t="shared" si="150"/>
        <v>585680</v>
      </c>
      <c r="AL45" s="555">
        <f t="shared" ref="AL45:AP45" si="151">+AL43+AL41</f>
        <v>585680</v>
      </c>
      <c r="AM45" s="179">
        <f t="shared" si="151"/>
        <v>636142</v>
      </c>
      <c r="AN45" s="179">
        <f t="shared" si="151"/>
        <v>645612</v>
      </c>
      <c r="AO45" s="179">
        <f t="shared" si="151"/>
        <v>625924</v>
      </c>
      <c r="AP45" s="179">
        <f t="shared" si="151"/>
        <v>675608</v>
      </c>
      <c r="AQ45" s="555">
        <f t="shared" ref="AQ45:AU45" si="152">+AQ43+AQ41</f>
        <v>675608</v>
      </c>
      <c r="AR45" s="179">
        <f t="shared" si="152"/>
        <v>684492</v>
      </c>
      <c r="AS45" s="179">
        <f t="shared" si="152"/>
        <v>707015</v>
      </c>
      <c r="AT45" s="179">
        <f t="shared" si="152"/>
        <v>707084</v>
      </c>
      <c r="AU45" s="179">
        <f t="shared" si="152"/>
        <v>736819</v>
      </c>
      <c r="AV45" s="555">
        <f t="shared" ref="AV45:AZ45" si="153">+AV43+AV41</f>
        <v>736819</v>
      </c>
      <c r="AW45" s="179">
        <f t="shared" si="153"/>
        <v>729942</v>
      </c>
      <c r="AX45" s="179">
        <f t="shared" si="153"/>
        <v>737305</v>
      </c>
      <c r="AY45" s="179">
        <f t="shared" si="153"/>
        <v>756180</v>
      </c>
      <c r="AZ45" s="179">
        <f t="shared" si="153"/>
        <v>814559</v>
      </c>
      <c r="BA45" s="555">
        <f t="shared" ref="BA45:BE45" si="154">+BA43+BA41</f>
        <v>814559</v>
      </c>
      <c r="BB45" s="179">
        <f t="shared" si="154"/>
        <v>814550</v>
      </c>
      <c r="BC45" s="179">
        <f t="shared" si="154"/>
        <v>789011</v>
      </c>
      <c r="BD45" s="179">
        <f t="shared" si="154"/>
        <v>747631</v>
      </c>
      <c r="BE45" s="179">
        <f t="shared" si="154"/>
        <v>700941</v>
      </c>
      <c r="BF45" s="555">
        <f t="shared" ref="BF45:BJ45" si="155">+BF43+BF41</f>
        <v>700941</v>
      </c>
      <c r="BG45" s="179">
        <f t="shared" si="155"/>
        <v>675753</v>
      </c>
      <c r="BH45" s="179">
        <f t="shared" si="155"/>
        <v>709584</v>
      </c>
      <c r="BI45" s="179">
        <f t="shared" si="155"/>
        <v>751861</v>
      </c>
      <c r="BJ45" s="179">
        <f t="shared" si="155"/>
        <v>812618</v>
      </c>
      <c r="BK45" s="555">
        <f t="shared" ref="BK45:BO45" si="156">+BK43+BK41</f>
        <v>812618</v>
      </c>
      <c r="BL45" s="179">
        <f t="shared" si="156"/>
        <v>861782</v>
      </c>
      <c r="BM45" s="179">
        <f t="shared" si="156"/>
        <v>876600</v>
      </c>
      <c r="BN45" s="179">
        <f t="shared" si="156"/>
        <v>908323</v>
      </c>
      <c r="BO45" s="179">
        <f t="shared" si="156"/>
        <v>973537</v>
      </c>
      <c r="BP45" s="555">
        <f t="shared" ref="BP45:BT45" si="157">+BP43+BP41</f>
        <v>973537</v>
      </c>
      <c r="BQ45" s="179">
        <f t="shared" si="157"/>
        <v>996471</v>
      </c>
      <c r="BR45" s="179">
        <f t="shared" si="157"/>
        <v>999505</v>
      </c>
      <c r="BS45" s="179">
        <f t="shared" si="157"/>
        <v>1031989</v>
      </c>
      <c r="BT45" s="179">
        <f t="shared" si="157"/>
        <v>1095081</v>
      </c>
      <c r="BU45" s="555">
        <f t="shared" ref="BU45:BY45" si="158">+BU43+BU41</f>
        <v>1095081</v>
      </c>
      <c r="BV45" s="179">
        <f t="shared" si="158"/>
        <v>1159631.9188287223</v>
      </c>
      <c r="BW45" s="179">
        <f t="shared" si="158"/>
        <v>1210755.8566825001</v>
      </c>
      <c r="BX45" s="179">
        <f t="shared" si="158"/>
        <v>1298081.0424139167</v>
      </c>
      <c r="BY45" s="179">
        <f t="shared" si="158"/>
        <v>1404001.851620479</v>
      </c>
      <c r="BZ45" s="555">
        <f t="shared" ref="BZ45:CD45" si="159">+BZ43+BZ41</f>
        <v>1404001.851620479</v>
      </c>
      <c r="CA45" s="179">
        <f t="shared" si="159"/>
        <v>1469380.1397001464</v>
      </c>
      <c r="CB45" s="179">
        <f t="shared" si="159"/>
        <v>1510720.7961768336</v>
      </c>
      <c r="CC45" s="179">
        <f t="shared" si="159"/>
        <v>1609233.1050810085</v>
      </c>
      <c r="CD45" s="179">
        <f t="shared" si="159"/>
        <v>1729896.8193117767</v>
      </c>
      <c r="CE45" s="555">
        <f t="shared" ref="CE45" si="160">+CE43+CE41</f>
        <v>1729896.8193117767</v>
      </c>
    </row>
    <row r="46" spans="2:83" ht="6" customHeight="1">
      <c r="B46" s="190"/>
      <c r="C46" s="170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598"/>
      <c r="S46" s="183"/>
      <c r="T46" s="183"/>
      <c r="U46" s="183"/>
      <c r="V46" s="183"/>
      <c r="W46" s="598"/>
      <c r="X46" s="183"/>
      <c r="Y46" s="183"/>
      <c r="Z46" s="183"/>
      <c r="AA46" s="183"/>
      <c r="AB46" s="598"/>
      <c r="AC46" s="183"/>
      <c r="AD46" s="183"/>
      <c r="AE46" s="183"/>
      <c r="AF46" s="183"/>
      <c r="AG46" s="598"/>
      <c r="AH46" s="183"/>
      <c r="AI46" s="183"/>
      <c r="AJ46" s="183"/>
      <c r="AK46" s="183"/>
      <c r="AL46" s="598"/>
      <c r="AM46" s="183"/>
      <c r="AN46" s="183"/>
      <c r="AO46" s="183"/>
      <c r="AP46" s="183"/>
      <c r="AQ46" s="598"/>
      <c r="AR46" s="183"/>
      <c r="AS46" s="183"/>
      <c r="AT46" s="183"/>
      <c r="AU46" s="183"/>
      <c r="AV46" s="598"/>
      <c r="AW46" s="183"/>
      <c r="AX46" s="183"/>
      <c r="AY46" s="183"/>
      <c r="AZ46" s="183"/>
      <c r="BA46" s="598"/>
      <c r="BB46" s="183"/>
      <c r="BC46" s="183"/>
      <c r="BD46" s="183"/>
      <c r="BE46" s="183"/>
      <c r="BF46" s="598"/>
      <c r="BG46" s="183"/>
      <c r="BH46" s="183"/>
      <c r="BI46" s="183"/>
      <c r="BJ46" s="183"/>
      <c r="BK46" s="598"/>
      <c r="BL46" s="183"/>
      <c r="BM46" s="183"/>
      <c r="BN46" s="183"/>
      <c r="BO46" s="183"/>
      <c r="BP46" s="598"/>
      <c r="BQ46" s="183"/>
      <c r="BR46" s="183"/>
      <c r="BS46" s="183"/>
      <c r="BT46" s="183"/>
      <c r="BU46" s="598"/>
      <c r="BV46" s="183"/>
      <c r="BW46" s="183"/>
      <c r="BX46" s="183"/>
      <c r="BY46" s="183"/>
      <c r="BZ46" s="598"/>
      <c r="CA46" s="183"/>
      <c r="CB46" s="183"/>
      <c r="CC46" s="183"/>
      <c r="CD46" s="183"/>
      <c r="CE46" s="598"/>
    </row>
    <row r="47" spans="2:83" ht="13.35" customHeight="1">
      <c r="B47" s="203" t="s">
        <v>110</v>
      </c>
      <c r="C47" s="203"/>
      <c r="D47" s="203">
        <f t="shared" ref="D47:AI47" si="161">+(D7+D8)/D61</f>
        <v>0</v>
      </c>
      <c r="E47" s="203">
        <f t="shared" si="161"/>
        <v>0</v>
      </c>
      <c r="F47" s="203">
        <f t="shared" si="161"/>
        <v>0</v>
      </c>
      <c r="G47" s="203">
        <f t="shared" si="161"/>
        <v>3.3775952543919692</v>
      </c>
      <c r="H47" s="203">
        <f t="shared" si="161"/>
        <v>4.201765045013083</v>
      </c>
      <c r="I47" s="203">
        <f t="shared" si="161"/>
        <v>0</v>
      </c>
      <c r="J47" s="203">
        <f t="shared" si="161"/>
        <v>0</v>
      </c>
      <c r="K47" s="203">
        <f t="shared" si="161"/>
        <v>0</v>
      </c>
      <c r="L47" s="203">
        <f t="shared" si="161"/>
        <v>2.6499809149899121</v>
      </c>
      <c r="M47" s="203">
        <f t="shared" si="161"/>
        <v>2.7067497476241864</v>
      </c>
      <c r="N47" s="203">
        <f t="shared" si="161"/>
        <v>2.8479585782859607</v>
      </c>
      <c r="O47" s="203">
        <f t="shared" si="161"/>
        <v>2.968185889953582</v>
      </c>
      <c r="P47" s="203">
        <f t="shared" si="161"/>
        <v>3.0587378640776701</v>
      </c>
      <c r="Q47" s="203">
        <f t="shared" si="161"/>
        <v>3.3807600318894497</v>
      </c>
      <c r="R47" s="599">
        <f t="shared" si="161"/>
        <v>3.4237272170677717</v>
      </c>
      <c r="S47" s="203">
        <f t="shared" si="161"/>
        <v>3.7387210670851316</v>
      </c>
      <c r="T47" s="203">
        <f t="shared" si="161"/>
        <v>4.1094217024041582</v>
      </c>
      <c r="U47" s="203">
        <f t="shared" si="161"/>
        <v>4.5902525172650117</v>
      </c>
      <c r="V47" s="203">
        <f t="shared" si="161"/>
        <v>4.6916059350914905</v>
      </c>
      <c r="W47" s="599">
        <f t="shared" si="161"/>
        <v>4.6851577941542208</v>
      </c>
      <c r="X47" s="203">
        <f t="shared" si="161"/>
        <v>5.436571700406998</v>
      </c>
      <c r="Y47" s="203">
        <f t="shared" si="161"/>
        <v>5.6204283879086594</v>
      </c>
      <c r="Z47" s="203">
        <f t="shared" si="161"/>
        <v>5.4240803885100224</v>
      </c>
      <c r="AA47" s="203">
        <f t="shared" si="161"/>
        <v>6.2523973129583101</v>
      </c>
      <c r="AB47" s="599">
        <f t="shared" si="161"/>
        <v>6.346491427827841</v>
      </c>
      <c r="AC47" s="203">
        <f t="shared" si="161"/>
        <v>6.3014287553095638</v>
      </c>
      <c r="AD47" s="203">
        <f t="shared" si="161"/>
        <v>7.0535474895662071</v>
      </c>
      <c r="AE47" s="203">
        <f t="shared" si="161"/>
        <v>7.5120226308345117</v>
      </c>
      <c r="AF47" s="203">
        <f t="shared" si="161"/>
        <v>7.0027193706599329</v>
      </c>
      <c r="AG47" s="599">
        <f t="shared" si="161"/>
        <v>7.2164388702968125</v>
      </c>
      <c r="AH47" s="203">
        <f t="shared" si="161"/>
        <v>7.8343826012305051</v>
      </c>
      <c r="AI47" s="203">
        <f t="shared" si="161"/>
        <v>7.6399147222551225</v>
      </c>
      <c r="AJ47" s="203">
        <f t="shared" ref="AJ47:BK47" si="162">+(AJ7+AJ8)/AJ61</f>
        <v>7.737659075289713</v>
      </c>
      <c r="AK47" s="203">
        <f t="shared" si="162"/>
        <v>6.9544492544492549</v>
      </c>
      <c r="AL47" s="599">
        <f t="shared" si="162"/>
        <v>6.8879387349189525</v>
      </c>
      <c r="AM47" s="203">
        <f t="shared" si="162"/>
        <v>7.1760458287199729</v>
      </c>
      <c r="AN47" s="203">
        <f t="shared" si="162"/>
        <v>7.199783289188538</v>
      </c>
      <c r="AO47" s="203">
        <f t="shared" si="162"/>
        <v>7.2405616831057769</v>
      </c>
      <c r="AP47" s="203">
        <f t="shared" si="162"/>
        <v>7.3040737029886857</v>
      </c>
      <c r="AQ47" s="599">
        <f t="shared" si="162"/>
        <v>7.2291691861168221</v>
      </c>
      <c r="AR47" s="203">
        <f t="shared" si="162"/>
        <v>8.1269157322626455</v>
      </c>
      <c r="AS47" s="203">
        <f t="shared" si="162"/>
        <v>8.5004765512353675</v>
      </c>
      <c r="AT47" s="203">
        <f t="shared" si="162"/>
        <v>7.8196693160631927</v>
      </c>
      <c r="AU47" s="203">
        <f t="shared" si="162"/>
        <v>8.80375865479723</v>
      </c>
      <c r="AV47" s="599">
        <f t="shared" si="162"/>
        <v>8.7211620899982858</v>
      </c>
      <c r="AW47" s="203">
        <f t="shared" si="162"/>
        <v>8.823522137026961</v>
      </c>
      <c r="AX47" s="203">
        <f t="shared" si="162"/>
        <v>8.9881727674227108</v>
      </c>
      <c r="AY47" s="203">
        <f t="shared" si="162"/>
        <v>8.6555911663077776</v>
      </c>
      <c r="AZ47" s="203">
        <f t="shared" si="162"/>
        <v>10.124353625939897</v>
      </c>
      <c r="BA47" s="599">
        <f t="shared" si="162"/>
        <v>10.102146115306962</v>
      </c>
      <c r="BB47" s="203">
        <f t="shared" si="162"/>
        <v>11.428164295892604</v>
      </c>
      <c r="BC47" s="203">
        <f t="shared" si="162"/>
        <v>10.559323742094787</v>
      </c>
      <c r="BD47" s="203">
        <f t="shared" si="162"/>
        <v>9.8235594084650693</v>
      </c>
      <c r="BE47" s="203">
        <f t="shared" si="162"/>
        <v>8.3504937629937626</v>
      </c>
      <c r="BF47" s="599">
        <f t="shared" si="162"/>
        <v>8.1663892242200902</v>
      </c>
      <c r="BG47" s="203">
        <f t="shared" si="162"/>
        <v>8.8608404789083863</v>
      </c>
      <c r="BH47" s="203">
        <f t="shared" si="162"/>
        <v>9.3295579003606246</v>
      </c>
      <c r="BI47" s="203">
        <f t="shared" si="162"/>
        <v>11.413533433027132</v>
      </c>
      <c r="BJ47" s="203">
        <f t="shared" si="162"/>
        <v>11.27365688248384</v>
      </c>
      <c r="BK47" s="599">
        <f t="shared" si="162"/>
        <v>11.325562208915501</v>
      </c>
      <c r="BL47" s="203">
        <f t="shared" ref="BL47:BP47" si="163">+(BL7+BL8)/BL61</f>
        <v>12.026349972165523</v>
      </c>
      <c r="BM47" s="203">
        <f t="shared" si="163"/>
        <v>10.495649156523596</v>
      </c>
      <c r="BN47" s="203">
        <f t="shared" si="163"/>
        <v>10.4034629470056</v>
      </c>
      <c r="BO47" s="203">
        <f t="shared" si="163"/>
        <v>10.30872972972973</v>
      </c>
      <c r="BP47" s="599">
        <f t="shared" si="163"/>
        <v>10.217394507209205</v>
      </c>
      <c r="BQ47" s="203">
        <f t="shared" ref="BQ47:BU47" si="164">+(BQ7+BQ8)/BQ61</f>
        <v>11.985564375815573</v>
      </c>
      <c r="BR47" s="203">
        <f t="shared" si="164"/>
        <v>10.132561132561133</v>
      </c>
      <c r="BS47" s="203">
        <f t="shared" si="164"/>
        <v>11.533188218113686</v>
      </c>
      <c r="BT47" s="203">
        <f t="shared" si="164"/>
        <v>12.339208633093525</v>
      </c>
      <c r="BU47" s="599">
        <f t="shared" si="164"/>
        <v>12.239638798924082</v>
      </c>
      <c r="BV47" s="203">
        <f t="shared" ref="BV47:BZ47" si="165">+(BV7+BV8)/BV61</f>
        <v>15.43003682729905</v>
      </c>
      <c r="BW47" s="203">
        <f t="shared" si="165"/>
        <v>16.743930407454588</v>
      </c>
      <c r="BX47" s="203">
        <f t="shared" si="165"/>
        <v>19.426998381650122</v>
      </c>
      <c r="BY47" s="203">
        <f t="shared" si="165"/>
        <v>21.390439072728238</v>
      </c>
      <c r="BZ47" s="599">
        <f t="shared" si="165"/>
        <v>21.036763769405255</v>
      </c>
      <c r="CA47" s="203">
        <f t="shared" ref="CA47:CE47" si="166">+(CA7+CA8)/CA61</f>
        <v>24.89461612179559</v>
      </c>
      <c r="CB47" s="203">
        <f t="shared" si="166"/>
        <v>25.817501058879856</v>
      </c>
      <c r="CC47" s="203">
        <f t="shared" si="166"/>
        <v>28.904460220514427</v>
      </c>
      <c r="CD47" s="203">
        <f t="shared" si="166"/>
        <v>30.790942782887214</v>
      </c>
      <c r="CE47" s="599">
        <f t="shared" si="166"/>
        <v>30.8371214877927</v>
      </c>
    </row>
    <row r="48" spans="2:83" ht="13.35" customHeight="1">
      <c r="B48" s="203" t="s">
        <v>111</v>
      </c>
      <c r="C48" s="243"/>
      <c r="D48" s="243">
        <f t="shared" ref="D48:M48" si="167">+D30+D37</f>
        <v>0</v>
      </c>
      <c r="E48" s="243">
        <f t="shared" si="167"/>
        <v>0</v>
      </c>
      <c r="F48" s="243">
        <f t="shared" si="167"/>
        <v>0</v>
      </c>
      <c r="G48" s="243">
        <f t="shared" si="167"/>
        <v>1991</v>
      </c>
      <c r="H48" s="243">
        <f t="shared" si="167"/>
        <v>1991</v>
      </c>
      <c r="I48" s="243">
        <f t="shared" si="167"/>
        <v>0</v>
      </c>
      <c r="J48" s="243">
        <f t="shared" si="167"/>
        <v>0</v>
      </c>
      <c r="K48" s="243">
        <f t="shared" si="167"/>
        <v>0</v>
      </c>
      <c r="L48" s="243">
        <f t="shared" si="167"/>
        <v>805</v>
      </c>
      <c r="M48" s="243">
        <f t="shared" si="167"/>
        <v>805</v>
      </c>
      <c r="N48" s="243">
        <f>+N38</f>
        <v>0</v>
      </c>
      <c r="O48" s="243">
        <f t="shared" ref="O48:Q48" si="168">+O38</f>
        <v>0</v>
      </c>
      <c r="P48" s="243">
        <f t="shared" si="168"/>
        <v>0</v>
      </c>
      <c r="Q48" s="243">
        <f t="shared" si="168"/>
        <v>0</v>
      </c>
      <c r="R48" s="600">
        <f>+R38</f>
        <v>0</v>
      </c>
      <c r="S48" s="243">
        <f>+S38</f>
        <v>0</v>
      </c>
      <c r="T48" s="243">
        <f t="shared" ref="T48:V48" si="169">+T38</f>
        <v>0</v>
      </c>
      <c r="U48" s="243">
        <f t="shared" si="169"/>
        <v>0</v>
      </c>
      <c r="V48" s="243">
        <f t="shared" si="169"/>
        <v>0</v>
      </c>
      <c r="W48" s="600">
        <f>+W38</f>
        <v>0</v>
      </c>
      <c r="X48" s="243">
        <f>+X38</f>
        <v>0</v>
      </c>
      <c r="Y48" s="243">
        <f t="shared" ref="Y48:AA48" si="170">+Y38</f>
        <v>0</v>
      </c>
      <c r="Z48" s="243">
        <f t="shared" si="170"/>
        <v>0</v>
      </c>
      <c r="AA48" s="243">
        <f t="shared" si="170"/>
        <v>0</v>
      </c>
      <c r="AB48" s="600">
        <f>+AB38</f>
        <v>0</v>
      </c>
      <c r="AC48" s="243">
        <f>+AC38</f>
        <v>0</v>
      </c>
      <c r="AD48" s="243">
        <f t="shared" ref="AD48:AF48" si="171">+AD38</f>
        <v>0</v>
      </c>
      <c r="AE48" s="243">
        <f t="shared" si="171"/>
        <v>0</v>
      </c>
      <c r="AF48" s="243">
        <f t="shared" si="171"/>
        <v>0</v>
      </c>
      <c r="AG48" s="600">
        <f>+AG38</f>
        <v>0</v>
      </c>
      <c r="AH48" s="243">
        <f>+AH38</f>
        <v>0</v>
      </c>
      <c r="AI48" s="243">
        <f t="shared" ref="AI48:AK48" si="172">+AI38</f>
        <v>0</v>
      </c>
      <c r="AJ48" s="243">
        <f t="shared" si="172"/>
        <v>0</v>
      </c>
      <c r="AK48" s="243">
        <f t="shared" si="172"/>
        <v>0</v>
      </c>
      <c r="AL48" s="600">
        <f>+AL38</f>
        <v>0</v>
      </c>
      <c r="AM48" s="243">
        <f>+AM38</f>
        <v>0</v>
      </c>
      <c r="AN48" s="243">
        <f t="shared" ref="AN48:AP48" si="173">+AN38</f>
        <v>0</v>
      </c>
      <c r="AO48" s="243">
        <f t="shared" si="173"/>
        <v>0</v>
      </c>
      <c r="AP48" s="243">
        <f t="shared" si="173"/>
        <v>0</v>
      </c>
      <c r="AQ48" s="600">
        <f>+AQ38</f>
        <v>0</v>
      </c>
      <c r="AR48" s="243">
        <f>+AR38</f>
        <v>0</v>
      </c>
      <c r="AS48" s="243">
        <f t="shared" ref="AS48:AU48" si="174">+AS38</f>
        <v>0</v>
      </c>
      <c r="AT48" s="243">
        <f t="shared" si="174"/>
        <v>0</v>
      </c>
      <c r="AU48" s="243">
        <f t="shared" si="174"/>
        <v>0</v>
      </c>
      <c r="AV48" s="600">
        <f>+AV38</f>
        <v>0</v>
      </c>
      <c r="AW48" s="243">
        <f>+AW38</f>
        <v>0</v>
      </c>
      <c r="AX48" s="243">
        <f t="shared" ref="AX48:AZ48" si="175">+AX38</f>
        <v>0</v>
      </c>
      <c r="AY48" s="243">
        <f t="shared" si="175"/>
        <v>0</v>
      </c>
      <c r="AZ48" s="243">
        <f t="shared" si="175"/>
        <v>0</v>
      </c>
      <c r="BA48" s="600">
        <f>+BA38</f>
        <v>0</v>
      </c>
      <c r="BB48" s="243">
        <f>+BB38</f>
        <v>0</v>
      </c>
      <c r="BC48" s="243">
        <f t="shared" ref="BC48:BE48" si="176">+BC38</f>
        <v>0</v>
      </c>
      <c r="BD48" s="243">
        <f t="shared" si="176"/>
        <v>0</v>
      </c>
      <c r="BE48" s="243">
        <f t="shared" si="176"/>
        <v>0</v>
      </c>
      <c r="BF48" s="600">
        <f>+BF38</f>
        <v>0</v>
      </c>
      <c r="BG48" s="243">
        <f>+BG38</f>
        <v>0</v>
      </c>
      <c r="BH48" s="243">
        <f t="shared" ref="BH48:BJ48" si="177">+BH38</f>
        <v>0</v>
      </c>
      <c r="BI48" s="243">
        <f t="shared" si="177"/>
        <v>0</v>
      </c>
      <c r="BJ48" s="243">
        <f t="shared" si="177"/>
        <v>0</v>
      </c>
      <c r="BK48" s="600">
        <f>+BK38</f>
        <v>0</v>
      </c>
      <c r="BL48" s="243">
        <f>+BL38</f>
        <v>0</v>
      </c>
      <c r="BM48" s="243">
        <f t="shared" ref="BM48:BO48" si="178">+BM38</f>
        <v>0</v>
      </c>
      <c r="BN48" s="243">
        <f t="shared" si="178"/>
        <v>0</v>
      </c>
      <c r="BO48" s="243">
        <f t="shared" si="178"/>
        <v>0</v>
      </c>
      <c r="BP48" s="600">
        <f>+BP38</f>
        <v>0</v>
      </c>
      <c r="BQ48" s="243">
        <f>+BQ38</f>
        <v>0</v>
      </c>
      <c r="BR48" s="243">
        <f t="shared" ref="BR48:BT48" si="179">+BR38</f>
        <v>0</v>
      </c>
      <c r="BS48" s="243">
        <f t="shared" si="179"/>
        <v>0</v>
      </c>
      <c r="BT48" s="243">
        <f t="shared" si="179"/>
        <v>0</v>
      </c>
      <c r="BU48" s="600">
        <f>+BU38</f>
        <v>0</v>
      </c>
      <c r="BV48" s="243">
        <f>+BV38</f>
        <v>0</v>
      </c>
      <c r="BW48" s="243">
        <f t="shared" ref="BW48:BY48" si="180">+BW38</f>
        <v>0</v>
      </c>
      <c r="BX48" s="243">
        <f t="shared" si="180"/>
        <v>0</v>
      </c>
      <c r="BY48" s="243">
        <f t="shared" si="180"/>
        <v>0</v>
      </c>
      <c r="BZ48" s="600">
        <f>+BZ38</f>
        <v>0</v>
      </c>
      <c r="CA48" s="243">
        <f>+CA38</f>
        <v>0</v>
      </c>
      <c r="CB48" s="243">
        <f t="shared" ref="CB48:CD48" si="181">+CB38</f>
        <v>0</v>
      </c>
      <c r="CC48" s="243">
        <f t="shared" si="181"/>
        <v>0</v>
      </c>
      <c r="CD48" s="243">
        <f t="shared" si="181"/>
        <v>0</v>
      </c>
      <c r="CE48" s="600">
        <f>+CE38</f>
        <v>0</v>
      </c>
    </row>
    <row r="49" spans="2:83" ht="13.35" customHeight="1">
      <c r="B49" s="203" t="s">
        <v>415</v>
      </c>
      <c r="C49" s="243"/>
      <c r="D49" s="243">
        <f>+(D47*D61)-D48</f>
        <v>0</v>
      </c>
      <c r="E49" s="243">
        <f t="shared" ref="E49:AL49" si="182">+(E47*E61)-E48</f>
        <v>0</v>
      </c>
      <c r="F49" s="243">
        <f t="shared" si="182"/>
        <v>0</v>
      </c>
      <c r="G49" s="243">
        <f t="shared" si="182"/>
        <v>116441</v>
      </c>
      <c r="H49" s="243">
        <f t="shared" si="182"/>
        <v>116441.00000000001</v>
      </c>
      <c r="I49" s="243">
        <f t="shared" si="182"/>
        <v>0</v>
      </c>
      <c r="J49" s="243">
        <f t="shared" si="182"/>
        <v>0</v>
      </c>
      <c r="K49" s="243">
        <f t="shared" si="182"/>
        <v>0</v>
      </c>
      <c r="L49" s="243">
        <f t="shared" si="182"/>
        <v>96391</v>
      </c>
      <c r="M49" s="243">
        <f t="shared" si="182"/>
        <v>96391</v>
      </c>
      <c r="N49" s="243">
        <f t="shared" si="182"/>
        <v>105608</v>
      </c>
      <c r="O49" s="243">
        <f t="shared" si="182"/>
        <v>109345.00000000001</v>
      </c>
      <c r="P49" s="243">
        <f t="shared" si="182"/>
        <v>113418.00000000001</v>
      </c>
      <c r="Q49" s="243">
        <f t="shared" si="182"/>
        <v>127218</v>
      </c>
      <c r="R49" s="600">
        <f t="shared" si="182"/>
        <v>127218</v>
      </c>
      <c r="S49" s="243">
        <f t="shared" si="182"/>
        <v>142950</v>
      </c>
      <c r="T49" s="243">
        <f t="shared" si="182"/>
        <v>158109.99999999997</v>
      </c>
      <c r="U49" s="243">
        <f t="shared" si="182"/>
        <v>174145</v>
      </c>
      <c r="V49" s="243">
        <f t="shared" si="182"/>
        <v>178966</v>
      </c>
      <c r="W49" s="600">
        <f t="shared" si="182"/>
        <v>178966</v>
      </c>
      <c r="X49" s="243">
        <f t="shared" si="182"/>
        <v>205709</v>
      </c>
      <c r="Y49" s="243">
        <f t="shared" si="182"/>
        <v>214380</v>
      </c>
      <c r="Z49" s="243">
        <f t="shared" si="182"/>
        <v>209977</v>
      </c>
      <c r="AA49" s="243">
        <f t="shared" si="182"/>
        <v>243856</v>
      </c>
      <c r="AB49" s="600">
        <f t="shared" si="182"/>
        <v>243856</v>
      </c>
      <c r="AC49" s="243">
        <f t="shared" si="182"/>
        <v>244779</v>
      </c>
      <c r="AD49" s="243">
        <f t="shared" si="182"/>
        <v>278862</v>
      </c>
      <c r="AE49" s="243">
        <f t="shared" si="182"/>
        <v>302727</v>
      </c>
      <c r="AF49" s="243">
        <f t="shared" si="182"/>
        <v>288414</v>
      </c>
      <c r="AG49" s="600">
        <f t="shared" si="182"/>
        <v>288414</v>
      </c>
      <c r="AH49" s="243">
        <f t="shared" si="182"/>
        <v>328527</v>
      </c>
      <c r="AI49" s="243">
        <f t="shared" si="182"/>
        <v>322519</v>
      </c>
      <c r="AJ49" s="243">
        <f t="shared" si="182"/>
        <v>326506</v>
      </c>
      <c r="AK49" s="243">
        <f t="shared" si="182"/>
        <v>289166</v>
      </c>
      <c r="AL49" s="600">
        <f t="shared" si="182"/>
        <v>289166</v>
      </c>
      <c r="AM49" s="243">
        <f t="shared" ref="AM49:AQ49" si="183">+(AM47*AM61)-AM48</f>
        <v>298136</v>
      </c>
      <c r="AN49" s="243">
        <f t="shared" si="183"/>
        <v>299007</v>
      </c>
      <c r="AO49" s="243">
        <f t="shared" si="183"/>
        <v>298036</v>
      </c>
      <c r="AP49" s="243">
        <f t="shared" si="183"/>
        <v>298890</v>
      </c>
      <c r="AQ49" s="600">
        <f t="shared" si="183"/>
        <v>298890</v>
      </c>
      <c r="AR49" s="243">
        <f t="shared" ref="AR49:AV49" si="184">+(AR47*AR61)-AR48</f>
        <v>331952</v>
      </c>
      <c r="AS49" s="243">
        <f t="shared" si="184"/>
        <v>347831</v>
      </c>
      <c r="AT49" s="243">
        <f t="shared" si="184"/>
        <v>318761</v>
      </c>
      <c r="AU49" s="243">
        <f t="shared" si="184"/>
        <v>356024</v>
      </c>
      <c r="AV49" s="600">
        <f t="shared" si="184"/>
        <v>356024</v>
      </c>
      <c r="AW49" s="243">
        <f t="shared" ref="AW49:BA49" si="185">+(AW47*AW61)-AW48</f>
        <v>356735.00000000006</v>
      </c>
      <c r="AX49" s="243">
        <f t="shared" si="185"/>
        <v>360219</v>
      </c>
      <c r="AY49" s="243">
        <f t="shared" si="185"/>
        <v>345687</v>
      </c>
      <c r="AZ49" s="243">
        <f t="shared" si="185"/>
        <v>405288</v>
      </c>
      <c r="BA49" s="600">
        <f t="shared" si="185"/>
        <v>405288</v>
      </c>
      <c r="BB49" s="243">
        <f t="shared" ref="BB49:BF49" si="186">+(BB47*BB61)-BB48</f>
        <v>457138.00000000006</v>
      </c>
      <c r="BC49" s="243">
        <f t="shared" si="186"/>
        <v>419089</v>
      </c>
      <c r="BD49" s="243">
        <f t="shared" si="186"/>
        <v>385280</v>
      </c>
      <c r="BE49" s="243">
        <f t="shared" si="186"/>
        <v>321327</v>
      </c>
      <c r="BF49" s="600">
        <f t="shared" si="186"/>
        <v>321327</v>
      </c>
      <c r="BG49" s="243">
        <f t="shared" ref="BG49:BK49" si="187">+(BG47*BG61)-BG48</f>
        <v>333779</v>
      </c>
      <c r="BH49" s="243">
        <f t="shared" si="187"/>
        <v>349252</v>
      </c>
      <c r="BI49" s="243">
        <f t="shared" si="187"/>
        <v>427414</v>
      </c>
      <c r="BJ49" s="243">
        <f t="shared" si="187"/>
        <v>425558</v>
      </c>
      <c r="BK49" s="600">
        <f t="shared" si="187"/>
        <v>425557.99999999994</v>
      </c>
      <c r="BL49" s="243">
        <f t="shared" ref="BL49:BP49" si="188">+(BL47*BL61)-BL48</f>
        <v>453670</v>
      </c>
      <c r="BM49" s="243">
        <f t="shared" si="188"/>
        <v>393209</v>
      </c>
      <c r="BN49" s="243">
        <f t="shared" si="188"/>
        <v>386343</v>
      </c>
      <c r="BO49" s="243">
        <f t="shared" si="188"/>
        <v>381423</v>
      </c>
      <c r="BP49" s="600">
        <f t="shared" si="188"/>
        <v>381423</v>
      </c>
      <c r="BQ49" s="243">
        <f t="shared" ref="BQ49:BU49" si="189">+(BQ47*BQ61)-BQ48</f>
        <v>440877</v>
      </c>
      <c r="BR49" s="243">
        <f t="shared" si="189"/>
        <v>370031</v>
      </c>
      <c r="BS49" s="243">
        <f t="shared" si="189"/>
        <v>418574</v>
      </c>
      <c r="BT49" s="243">
        <f t="shared" si="189"/>
        <v>445939</v>
      </c>
      <c r="BU49" s="600">
        <f t="shared" si="189"/>
        <v>445939</v>
      </c>
      <c r="BV49" s="243">
        <f t="shared" ref="BV49:BZ49" si="190">+(BV47*BV61)-BV48</f>
        <v>555410.96481483337</v>
      </c>
      <c r="BW49" s="243">
        <f t="shared" si="190"/>
        <v>596678.09092225006</v>
      </c>
      <c r="BX49" s="243">
        <f t="shared" si="190"/>
        <v>683290.74430646945</v>
      </c>
      <c r="BY49" s="243">
        <f t="shared" si="190"/>
        <v>744825.82746100717</v>
      </c>
      <c r="BZ49" s="600">
        <f t="shared" si="190"/>
        <v>744825.82746100717</v>
      </c>
      <c r="CA49" s="243">
        <f t="shared" ref="CA49:CE49" si="191">+(CA47*CA61)-CA48</f>
        <v>862508.81640393555</v>
      </c>
      <c r="CB49" s="243">
        <f t="shared" si="191"/>
        <v>895377.94011482364</v>
      </c>
      <c r="CC49" s="243">
        <f t="shared" si="191"/>
        <v>1003439.3495073391</v>
      </c>
      <c r="CD49" s="243">
        <f t="shared" si="191"/>
        <v>1069998.8930574944</v>
      </c>
      <c r="CE49" s="600">
        <f t="shared" si="191"/>
        <v>1069998.8930574944</v>
      </c>
    </row>
    <row r="50" spans="2:83" ht="13.35" customHeight="1">
      <c r="B50" s="203" t="s">
        <v>416</v>
      </c>
      <c r="C50" s="203"/>
      <c r="D50" s="203">
        <f t="shared" ref="D50:H50" si="192">+D49/D61</f>
        <v>0</v>
      </c>
      <c r="E50" s="203">
        <f t="shared" si="192"/>
        <v>0</v>
      </c>
      <c r="F50" s="203">
        <f t="shared" si="192"/>
        <v>0</v>
      </c>
      <c r="G50" s="203">
        <f t="shared" si="192"/>
        <v>3.3208133698380107</v>
      </c>
      <c r="H50" s="203">
        <f t="shared" si="192"/>
        <v>4.1311277661980581</v>
      </c>
      <c r="I50" s="203">
        <f t="shared" ref="I50:AG50" si="193">+I49/I61</f>
        <v>0</v>
      </c>
      <c r="J50" s="203">
        <f t="shared" si="193"/>
        <v>0</v>
      </c>
      <c r="K50" s="203">
        <f t="shared" si="193"/>
        <v>0</v>
      </c>
      <c r="L50" s="203">
        <f t="shared" si="193"/>
        <v>2.6280331533889525</v>
      </c>
      <c r="M50" s="203">
        <f t="shared" si="193"/>
        <v>2.6843318132767084</v>
      </c>
      <c r="N50" s="203">
        <f t="shared" si="193"/>
        <v>2.8479585782859607</v>
      </c>
      <c r="O50" s="203">
        <f t="shared" si="193"/>
        <v>2.968185889953582</v>
      </c>
      <c r="P50" s="203">
        <f t="shared" si="193"/>
        <v>3.0587378640776701</v>
      </c>
      <c r="Q50" s="203">
        <f t="shared" si="193"/>
        <v>3.3807600318894497</v>
      </c>
      <c r="R50" s="599">
        <f t="shared" si="193"/>
        <v>3.4237272170677717</v>
      </c>
      <c r="S50" s="203">
        <f t="shared" si="193"/>
        <v>3.7387210670851316</v>
      </c>
      <c r="T50" s="203">
        <f t="shared" si="193"/>
        <v>4.1094217024041582</v>
      </c>
      <c r="U50" s="203">
        <f t="shared" si="193"/>
        <v>4.5902525172650117</v>
      </c>
      <c r="V50" s="203">
        <f t="shared" si="193"/>
        <v>4.6916059350914905</v>
      </c>
      <c r="W50" s="599">
        <f t="shared" si="193"/>
        <v>4.6851577941542208</v>
      </c>
      <c r="X50" s="203">
        <f t="shared" si="193"/>
        <v>5.436571700406998</v>
      </c>
      <c r="Y50" s="203">
        <f t="shared" si="193"/>
        <v>5.6204283879086594</v>
      </c>
      <c r="Z50" s="203">
        <f t="shared" si="193"/>
        <v>5.4240803885100224</v>
      </c>
      <c r="AA50" s="203">
        <f t="shared" si="193"/>
        <v>6.2523973129583101</v>
      </c>
      <c r="AB50" s="599">
        <f t="shared" si="193"/>
        <v>6.346491427827841</v>
      </c>
      <c r="AC50" s="203">
        <f t="shared" si="193"/>
        <v>6.3014287553095638</v>
      </c>
      <c r="AD50" s="203">
        <f t="shared" si="193"/>
        <v>7.0535474895662071</v>
      </c>
      <c r="AE50" s="203">
        <f t="shared" si="193"/>
        <v>7.5120226308345117</v>
      </c>
      <c r="AF50" s="203">
        <f t="shared" si="193"/>
        <v>7.0027193706599329</v>
      </c>
      <c r="AG50" s="599">
        <f t="shared" si="193"/>
        <v>7.2164388702968125</v>
      </c>
      <c r="AH50" s="203">
        <f t="shared" ref="AH50:AL50" si="194">+AH49/AH61</f>
        <v>7.8343826012305051</v>
      </c>
      <c r="AI50" s="203">
        <f t="shared" si="194"/>
        <v>7.6399147222551225</v>
      </c>
      <c r="AJ50" s="203">
        <f t="shared" si="194"/>
        <v>7.737659075289713</v>
      </c>
      <c r="AK50" s="203">
        <f t="shared" si="194"/>
        <v>6.9544492544492549</v>
      </c>
      <c r="AL50" s="599">
        <f t="shared" si="194"/>
        <v>6.8879387349189525</v>
      </c>
      <c r="AM50" s="203">
        <f t="shared" ref="AM50:AQ50" si="195">+AM49/AM61</f>
        <v>7.1760458287199729</v>
      </c>
      <c r="AN50" s="203">
        <f t="shared" si="195"/>
        <v>7.199783289188538</v>
      </c>
      <c r="AO50" s="203">
        <f t="shared" si="195"/>
        <v>7.2405616831057769</v>
      </c>
      <c r="AP50" s="203">
        <f t="shared" si="195"/>
        <v>7.3040737029886857</v>
      </c>
      <c r="AQ50" s="599">
        <f t="shared" si="195"/>
        <v>7.2291691861168221</v>
      </c>
      <c r="AR50" s="203">
        <f t="shared" ref="AR50:AV50" si="196">+AR49/AR61</f>
        <v>8.1269157322626455</v>
      </c>
      <c r="AS50" s="203">
        <f t="shared" si="196"/>
        <v>8.5004765512353675</v>
      </c>
      <c r="AT50" s="203">
        <f t="shared" si="196"/>
        <v>7.8196693160631927</v>
      </c>
      <c r="AU50" s="203">
        <f t="shared" si="196"/>
        <v>8.80375865479723</v>
      </c>
      <c r="AV50" s="599">
        <f t="shared" si="196"/>
        <v>8.7211620899982858</v>
      </c>
      <c r="AW50" s="203">
        <f t="shared" ref="AW50:AZ50" si="197">+AW49/AW61</f>
        <v>8.823522137026961</v>
      </c>
      <c r="AX50" s="203">
        <f t="shared" si="197"/>
        <v>8.9881727674227108</v>
      </c>
      <c r="AY50" s="203">
        <f t="shared" si="197"/>
        <v>8.6555911663077776</v>
      </c>
      <c r="AZ50" s="203">
        <f t="shared" si="197"/>
        <v>10.124353625939897</v>
      </c>
      <c r="BA50" s="599">
        <f>+BA49/BA61</f>
        <v>10.102146115306962</v>
      </c>
      <c r="BB50" s="203">
        <f t="shared" ref="BB50:BE50" si="198">+BB49/BB61</f>
        <v>11.428164295892604</v>
      </c>
      <c r="BC50" s="203">
        <f t="shared" si="198"/>
        <v>10.559323742094787</v>
      </c>
      <c r="BD50" s="203">
        <f t="shared" si="198"/>
        <v>9.8235594084650693</v>
      </c>
      <c r="BE50" s="203">
        <f t="shared" si="198"/>
        <v>8.3504937629937626</v>
      </c>
      <c r="BF50" s="599">
        <f>+BF49/BF61</f>
        <v>8.1663892242200902</v>
      </c>
      <c r="BG50" s="203">
        <f t="shared" ref="BG50:BJ50" si="199">+BG49/BG61</f>
        <v>8.8608404789083863</v>
      </c>
      <c r="BH50" s="203">
        <f t="shared" si="199"/>
        <v>9.3295579003606246</v>
      </c>
      <c r="BI50" s="203">
        <f t="shared" si="199"/>
        <v>11.413533433027132</v>
      </c>
      <c r="BJ50" s="203">
        <f t="shared" si="199"/>
        <v>11.27365688248384</v>
      </c>
      <c r="BK50" s="599">
        <f>+BK49/BK61</f>
        <v>11.325562208915501</v>
      </c>
      <c r="BL50" s="203">
        <f t="shared" ref="BL50:BO50" si="200">+BL49/BL61</f>
        <v>12.026349972165523</v>
      </c>
      <c r="BM50" s="203">
        <f t="shared" si="200"/>
        <v>10.495649156523596</v>
      </c>
      <c r="BN50" s="203">
        <f t="shared" si="200"/>
        <v>10.4034629470056</v>
      </c>
      <c r="BO50" s="203">
        <f t="shared" si="200"/>
        <v>10.30872972972973</v>
      </c>
      <c r="BP50" s="599">
        <f>+BP49/BP61</f>
        <v>10.217394507209205</v>
      </c>
      <c r="BQ50" s="203">
        <f t="shared" ref="BQ50:BT50" si="201">+BQ49/BQ61</f>
        <v>11.985564375815573</v>
      </c>
      <c r="BR50" s="203">
        <f t="shared" si="201"/>
        <v>10.132561132561133</v>
      </c>
      <c r="BS50" s="203">
        <f t="shared" si="201"/>
        <v>11.533188218113686</v>
      </c>
      <c r="BT50" s="203">
        <f t="shared" si="201"/>
        <v>12.339208633093525</v>
      </c>
      <c r="BU50" s="599">
        <f>+BU49/BU61</f>
        <v>12.239638798924082</v>
      </c>
      <c r="BV50" s="203">
        <f t="shared" ref="BV50:BY50" si="202">+BV49/BV61</f>
        <v>15.43003682729905</v>
      </c>
      <c r="BW50" s="203">
        <f t="shared" si="202"/>
        <v>16.743930407454588</v>
      </c>
      <c r="BX50" s="203">
        <f t="shared" si="202"/>
        <v>19.426998381650122</v>
      </c>
      <c r="BY50" s="203">
        <f t="shared" si="202"/>
        <v>21.390439072728238</v>
      </c>
      <c r="BZ50" s="599">
        <f>+BZ49/BZ61</f>
        <v>21.036763769405255</v>
      </c>
      <c r="CA50" s="203">
        <f t="shared" ref="CA50:CD50" si="203">+CA49/CA61</f>
        <v>24.89461612179559</v>
      </c>
      <c r="CB50" s="203">
        <f t="shared" si="203"/>
        <v>25.817501058879856</v>
      </c>
      <c r="CC50" s="203">
        <f t="shared" si="203"/>
        <v>28.904460220514427</v>
      </c>
      <c r="CD50" s="203">
        <f t="shared" si="203"/>
        <v>30.790942782887214</v>
      </c>
      <c r="CE50" s="599">
        <f>+CE49/CE61</f>
        <v>30.8371214877927</v>
      </c>
    </row>
    <row r="51" spans="2:83" ht="13.35" customHeight="1">
      <c r="B51" s="203" t="s">
        <v>112</v>
      </c>
      <c r="C51" s="166"/>
      <c r="D51" s="204">
        <f t="shared" ref="D51:H51" si="204">+D43/D61</f>
        <v>0</v>
      </c>
      <c r="E51" s="204">
        <f t="shared" si="204"/>
        <v>0</v>
      </c>
      <c r="F51" s="204">
        <f t="shared" si="204"/>
        <v>0</v>
      </c>
      <c r="G51" s="204">
        <f t="shared" si="204"/>
        <v>2.6110825918320786</v>
      </c>
      <c r="H51" s="204">
        <f t="shared" si="204"/>
        <v>3.2482149984478248</v>
      </c>
      <c r="I51" s="204">
        <f t="shared" ref="I51:AG51" si="205">+I43/I61</f>
        <v>0</v>
      </c>
      <c r="J51" s="204">
        <f t="shared" si="205"/>
        <v>0</v>
      </c>
      <c r="K51" s="204">
        <f t="shared" si="205"/>
        <v>0</v>
      </c>
      <c r="L51" s="204">
        <f t="shared" si="205"/>
        <v>2.811412836032499</v>
      </c>
      <c r="M51" s="204">
        <f t="shared" si="205"/>
        <v>2.8716399206321581</v>
      </c>
      <c r="N51" s="204">
        <f t="shared" si="205"/>
        <v>2.8619545871312226</v>
      </c>
      <c r="O51" s="204">
        <f t="shared" si="205"/>
        <v>3.0435408127256438</v>
      </c>
      <c r="P51" s="204">
        <f t="shared" si="205"/>
        <v>3.2279665587918016</v>
      </c>
      <c r="Q51" s="204">
        <f t="shared" si="205"/>
        <v>4.0347329258570293</v>
      </c>
      <c r="R51" s="601">
        <f t="shared" si="205"/>
        <v>4.086011666476038</v>
      </c>
      <c r="S51" s="204">
        <f t="shared" si="205"/>
        <v>4.2441218778605991</v>
      </c>
      <c r="T51" s="204">
        <f t="shared" si="205"/>
        <v>4.4748018193632229</v>
      </c>
      <c r="U51" s="204">
        <f t="shared" si="205"/>
        <v>4.7946122621118663</v>
      </c>
      <c r="V51" s="204">
        <f t="shared" si="205"/>
        <v>5.126776070885545</v>
      </c>
      <c r="W51" s="601">
        <f t="shared" si="205"/>
        <v>5.1197298323232587</v>
      </c>
      <c r="X51" s="204">
        <f t="shared" si="205"/>
        <v>5.5630847296368726</v>
      </c>
      <c r="Y51" s="204">
        <f t="shared" si="205"/>
        <v>5.9627454578821801</v>
      </c>
      <c r="Z51" s="204">
        <f t="shared" si="205"/>
        <v>6.2356116966315351</v>
      </c>
      <c r="AA51" s="204">
        <f t="shared" si="205"/>
        <v>6.6256345828419052</v>
      </c>
      <c r="AB51" s="601">
        <f t="shared" si="205"/>
        <v>6.7253456521031918</v>
      </c>
      <c r="AC51" s="204">
        <f t="shared" si="205"/>
        <v>7.323156133350496</v>
      </c>
      <c r="AD51" s="204">
        <f t="shared" si="205"/>
        <v>7.741545466042747</v>
      </c>
      <c r="AE51" s="204">
        <f t="shared" si="205"/>
        <v>8.1302513710017621</v>
      </c>
      <c r="AF51" s="204">
        <f t="shared" si="205"/>
        <v>8.3412810178215899</v>
      </c>
      <c r="AG51" s="601">
        <f t="shared" si="205"/>
        <v>8.5958527507584517</v>
      </c>
      <c r="AH51" s="204">
        <f t="shared" ref="AH51:AL51" si="206">+AH43/AH61</f>
        <v>8.7356083369103832</v>
      </c>
      <c r="AI51" s="204">
        <f t="shared" si="206"/>
        <v>8.6518772948004266</v>
      </c>
      <c r="AJ51" s="204">
        <f t="shared" si="206"/>
        <v>8.8665070976609712</v>
      </c>
      <c r="AK51" s="204">
        <f t="shared" si="206"/>
        <v>8.6096440596440598</v>
      </c>
      <c r="AL51" s="601">
        <f t="shared" si="206"/>
        <v>8.527303693293474</v>
      </c>
      <c r="AM51" s="204">
        <f t="shared" ref="AM51:AQ51" si="207">+AM43/AM61</f>
        <v>8.9877244500072209</v>
      </c>
      <c r="AN51" s="204">
        <f t="shared" si="207"/>
        <v>9.23664820611606</v>
      </c>
      <c r="AO51" s="204">
        <f t="shared" si="207"/>
        <v>8.7707837325688747</v>
      </c>
      <c r="AP51" s="204">
        <f t="shared" si="207"/>
        <v>9.4524327362478928</v>
      </c>
      <c r="AQ51" s="601">
        <f t="shared" si="207"/>
        <v>9.3554964324585796</v>
      </c>
      <c r="AR51" s="204">
        <f t="shared" ref="AR51:AV51" si="208">+AR43/AR61</f>
        <v>9.4680017627185045</v>
      </c>
      <c r="AS51" s="204">
        <f t="shared" si="208"/>
        <v>9.9804491800874899</v>
      </c>
      <c r="AT51" s="204">
        <f t="shared" si="208"/>
        <v>9.819914630556374</v>
      </c>
      <c r="AU51" s="204">
        <f t="shared" si="208"/>
        <v>10.002027695351137</v>
      </c>
      <c r="AV51" s="601">
        <f t="shared" si="208"/>
        <v>9.9081890110966864</v>
      </c>
      <c r="AW51" s="204">
        <f t="shared" ref="AW51:BA51" si="209">+AW43/AW61</f>
        <v>9.822112292851843</v>
      </c>
      <c r="AX51" s="204">
        <f t="shared" si="209"/>
        <v>9.8059984529780166</v>
      </c>
      <c r="AY51" s="204">
        <f t="shared" si="209"/>
        <v>10.090289949421603</v>
      </c>
      <c r="AZ51" s="204">
        <f t="shared" si="209"/>
        <v>10.909395218705503</v>
      </c>
      <c r="BA51" s="601">
        <f t="shared" si="209"/>
        <v>10.885465739425211</v>
      </c>
      <c r="BB51" s="204">
        <f t="shared" ref="BB51:BF51" si="210">+BB43/BB61</f>
        <v>10.665608359791005</v>
      </c>
      <c r="BC51" s="204">
        <f t="shared" si="210"/>
        <v>9.9986898132983946</v>
      </c>
      <c r="BD51" s="204">
        <f t="shared" si="210"/>
        <v>9.0562468128505866</v>
      </c>
      <c r="BE51" s="204">
        <f t="shared" si="210"/>
        <v>7.513747401247401</v>
      </c>
      <c r="BF51" s="601">
        <f t="shared" si="210"/>
        <v>7.3480907300336744</v>
      </c>
      <c r="BG51" s="204">
        <f t="shared" ref="BG51:BK51" si="211">+BG43/BG61</f>
        <v>7.1098781491412035</v>
      </c>
      <c r="BH51" s="204">
        <f t="shared" si="211"/>
        <v>7.3999732870308534</v>
      </c>
      <c r="BI51" s="204">
        <f t="shared" si="211"/>
        <v>8.6230773339030122</v>
      </c>
      <c r="BJ51" s="204">
        <f t="shared" si="211"/>
        <v>9.7534703825368236</v>
      </c>
      <c r="BK51" s="601">
        <f t="shared" si="211"/>
        <v>9.7983765801729881</v>
      </c>
      <c r="BL51" s="204">
        <f t="shared" ref="BL51:BP51" si="212">+BL43/BL61</f>
        <v>10.715001457996447</v>
      </c>
      <c r="BM51" s="204">
        <f t="shared" si="212"/>
        <v>11.418828742259235</v>
      </c>
      <c r="BN51" s="204">
        <f t="shared" si="212"/>
        <v>12.106715855234812</v>
      </c>
      <c r="BO51" s="204">
        <f t="shared" si="212"/>
        <v>12.895027027027027</v>
      </c>
      <c r="BP51" s="601">
        <f t="shared" si="212"/>
        <v>12.780777241282321</v>
      </c>
      <c r="BQ51" s="204">
        <f t="shared" ref="BQ51:BU51" si="213">+BQ43/BQ61</f>
        <v>13.539446498477599</v>
      </c>
      <c r="BR51" s="204">
        <f t="shared" si="213"/>
        <v>13.915140064076235</v>
      </c>
      <c r="BS51" s="204">
        <f t="shared" si="213"/>
        <v>14.58691758741355</v>
      </c>
      <c r="BT51" s="204">
        <f t="shared" si="213"/>
        <v>15.527199778638627</v>
      </c>
      <c r="BU51" s="601">
        <f t="shared" si="213"/>
        <v>15.401904814184553</v>
      </c>
      <c r="BV51" s="204">
        <f t="shared" ref="BV51:BZ51" si="214">+BV43/BV61</f>
        <v>17.468418720996329</v>
      </c>
      <c r="BW51" s="204">
        <f t="shared" si="214"/>
        <v>19.492509705199584</v>
      </c>
      <c r="BX51" s="204">
        <f t="shared" si="214"/>
        <v>21.670081563929614</v>
      </c>
      <c r="BY51" s="204">
        <f t="shared" si="214"/>
        <v>23.825616771950056</v>
      </c>
      <c r="BZ51" s="601">
        <f t="shared" si="214"/>
        <v>23.431677582107991</v>
      </c>
      <c r="CA51" s="204">
        <f t="shared" ref="CA51:CE51" si="215">+CA43/CA61</f>
        <v>25.940263187549618</v>
      </c>
      <c r="CB51" s="204">
        <f t="shared" si="215"/>
        <v>27.950226292779007</v>
      </c>
      <c r="CC51" s="204">
        <f t="shared" si="215"/>
        <v>30.03726807347347</v>
      </c>
      <c r="CD51" s="204">
        <f t="shared" si="215"/>
        <v>32.215256354303648</v>
      </c>
      <c r="CE51" s="601">
        <f t="shared" si="215"/>
        <v>32.263571172954371</v>
      </c>
    </row>
    <row r="52" spans="2:83" ht="13.35" customHeight="1">
      <c r="B52" s="203" t="s">
        <v>113</v>
      </c>
      <c r="C52" s="318"/>
      <c r="D52" s="318"/>
      <c r="E52" s="318"/>
      <c r="F52" s="318"/>
      <c r="G52" s="318"/>
      <c r="H52" s="318"/>
      <c r="I52" s="318"/>
      <c r="J52" s="318"/>
      <c r="K52" s="318"/>
      <c r="L52" s="318">
        <f>+L9/L58*90</f>
        <v>88.580529632563071</v>
      </c>
      <c r="M52" s="318">
        <f>+((M9+H9)/2)/M58*360</f>
        <v>88.574498434634393</v>
      </c>
      <c r="N52" s="318">
        <f>+N9/N58*90</f>
        <v>64.890960600869676</v>
      </c>
      <c r="O52" s="318">
        <f>+O9/O58*90</f>
        <v>78.186490000619159</v>
      </c>
      <c r="P52" s="318">
        <f>+P9/P58*90</f>
        <v>79.335623617095607</v>
      </c>
      <c r="Q52" s="318">
        <f>+Q9/Q58*90</f>
        <v>81.190222295135754</v>
      </c>
      <c r="R52" s="602">
        <f>+((R9+M9)/2)/R58*360</f>
        <v>82.972024045695804</v>
      </c>
      <c r="S52" s="318">
        <f>+S9/S58*90</f>
        <v>92.974155175632788</v>
      </c>
      <c r="T52" s="318">
        <f>+T9/T58*90</f>
        <v>77.981794016601043</v>
      </c>
      <c r="U52" s="318">
        <f>+U9/U58*90</f>
        <v>80.266547363959603</v>
      </c>
      <c r="V52" s="318">
        <f>+V9/V58*90</f>
        <v>85.707053661829221</v>
      </c>
      <c r="W52" s="602">
        <f>+((W9+R9)/2)/W58*360</f>
        <v>82.523191546346567</v>
      </c>
      <c r="X52" s="318">
        <f>+X9/X58*90</f>
        <v>82.538920601971981</v>
      </c>
      <c r="Y52" s="318">
        <f>+Y9/Y58*90</f>
        <v>74.99752403746956</v>
      </c>
      <c r="Z52" s="318">
        <f>+Z9/Z58*90</f>
        <v>73.977680585247214</v>
      </c>
      <c r="AA52" s="318">
        <f>+AA9/AA58*90</f>
        <v>81.038602941176464</v>
      </c>
      <c r="AB52" s="602">
        <f>+((AB9+W9)/2)/AB58*360</f>
        <v>81.257142857142853</v>
      </c>
      <c r="AC52" s="318">
        <f>+AC9/AC58*90</f>
        <v>70.546676455639016</v>
      </c>
      <c r="AD52" s="318">
        <f>+AD9/AD58*90</f>
        <v>75.445915156775527</v>
      </c>
      <c r="AE52" s="318">
        <f>+AE9/AE58*90</f>
        <v>70.127080181543121</v>
      </c>
      <c r="AF52" s="318">
        <f>+AF9/AF58*90</f>
        <v>92.141460700945728</v>
      </c>
      <c r="AG52" s="602">
        <f>+((AG9+AB9)/2)/AG58*360</f>
        <v>86.897949988736201</v>
      </c>
      <c r="AH52" s="318">
        <f>+AH9/AH58*90</f>
        <v>69.186164801627669</v>
      </c>
      <c r="AI52" s="318">
        <f>+AI9/AI58*90</f>
        <v>69.375522720936715</v>
      </c>
      <c r="AJ52" s="318">
        <f>+AJ9/AJ58*90</f>
        <v>73.614669680984676</v>
      </c>
      <c r="AK52" s="318">
        <f>+AK9/AK58*90</f>
        <v>91.97102425876011</v>
      </c>
      <c r="AL52" s="602">
        <f>+((AL9+AG9)/2)/AL58*360</f>
        <v>90.511493820121984</v>
      </c>
      <c r="AM52" s="318">
        <f>+AM9/AM58*90</f>
        <v>81.064863358241638</v>
      </c>
      <c r="AN52" s="318">
        <f>+AN9/AN58*90</f>
        <v>72.046522824310458</v>
      </c>
      <c r="AO52" s="318">
        <f>+AO9/AO58*90</f>
        <v>66.749646187901448</v>
      </c>
      <c r="AP52" s="318">
        <f>+AP9/AP58*90</f>
        <v>82.952140224888964</v>
      </c>
      <c r="AQ52" s="602">
        <f>+((AQ9+AL9)/2)/AQ58*360</f>
        <v>86.113237585002821</v>
      </c>
      <c r="AR52" s="318">
        <f>+AR9/AR58*90</f>
        <v>75.845263902252412</v>
      </c>
      <c r="AS52" s="318">
        <f>+AS9/AS58*90</f>
        <v>76.938196555217829</v>
      </c>
      <c r="AT52" s="318">
        <f>+AT9/AT58*90</f>
        <v>62.170969925539119</v>
      </c>
      <c r="AU52" s="318">
        <f>+AU9/AU58*90</f>
        <v>95.105642345544879</v>
      </c>
      <c r="AV52" s="602">
        <f>+((AV9+AQ9)/2)/AV58*360</f>
        <v>88.379090981725412</v>
      </c>
      <c r="AW52" s="318">
        <f>+AW9/AW58*90</f>
        <v>79.271363016247065</v>
      </c>
      <c r="AX52" s="318">
        <f>+AX9/AX58*90</f>
        <v>77.671059758079068</v>
      </c>
      <c r="AY52" s="318">
        <f>+AY9/AY58*90</f>
        <v>72.274286694493682</v>
      </c>
      <c r="AZ52" s="318">
        <f>+AZ9/AZ58*90</f>
        <v>89.358899617416654</v>
      </c>
      <c r="BA52" s="602">
        <f>+((BA9+AV9)/2)/BA58*360</f>
        <v>91.572042843384281</v>
      </c>
      <c r="BB52" s="318">
        <f>+BB9/BB58*90</f>
        <v>70.855757362017272</v>
      </c>
      <c r="BC52" s="318">
        <f>+BC9/BC58*90</f>
        <v>73.334389830932579</v>
      </c>
      <c r="BD52" s="318">
        <f>+BD9/BD58*90</f>
        <v>70.758675066302445</v>
      </c>
      <c r="BE52" s="318">
        <f>+BE9/BE58*90</f>
        <v>83.772516412047466</v>
      </c>
      <c r="BF52" s="602">
        <f>+((BF9+BA9)/2)/BF58*360</f>
        <v>84.829056425775391</v>
      </c>
      <c r="BG52" s="318">
        <f>+BG9/BG58*90</f>
        <v>70.098941713918407</v>
      </c>
      <c r="BH52" s="318">
        <f>+BH9/BH58*90</f>
        <v>81.933983922337461</v>
      </c>
      <c r="BI52" s="318">
        <f>+BI9/BI58*90</f>
        <v>65.554804360686219</v>
      </c>
      <c r="BJ52" s="318">
        <f>+BJ9/BJ58*90</f>
        <v>91.030919277858473</v>
      </c>
      <c r="BK52" s="602">
        <f>+((BK9+BF9)/2)/BK58*360</f>
        <v>87.010702343549909</v>
      </c>
      <c r="BL52" s="318">
        <f>+BL9/BL58*90</f>
        <v>71.373478275779291</v>
      </c>
      <c r="BM52" s="318">
        <f>+BM9/BM58*90</f>
        <v>66.321650482825405</v>
      </c>
      <c r="BN52" s="318">
        <f>+BN9/BN58*90</f>
        <v>67.246583087991581</v>
      </c>
      <c r="BO52" s="318">
        <f>+BO9/BO58*90</f>
        <v>93.030322065945938</v>
      </c>
      <c r="BP52" s="602">
        <f>+((BP9+BK9)/2)/BP58*360</f>
        <v>92.07131347612048</v>
      </c>
      <c r="BQ52" s="318">
        <f>+BQ9/BQ58*90</f>
        <v>68.422379126823813</v>
      </c>
      <c r="BR52" s="318">
        <f>+BR9/BR58*90</f>
        <v>70.587643695676022</v>
      </c>
      <c r="BS52" s="318">
        <f>+BS9/BS58*90</f>
        <v>68.033223060712729</v>
      </c>
      <c r="BT52" s="318">
        <f>+BT9/BT58*90</f>
        <v>87.796750379388641</v>
      </c>
      <c r="BU52" s="602">
        <f>+((BU9+BP9)/2)/BU58*360</f>
        <v>90.263493368204749</v>
      </c>
      <c r="BV52" s="318">
        <f>+BV9/BV58*90</f>
        <v>68.000000000000014</v>
      </c>
      <c r="BW52" s="318">
        <f>+BW9/BW58*90</f>
        <v>72</v>
      </c>
      <c r="BX52" s="318">
        <f>+BX9/BX58*90</f>
        <v>65</v>
      </c>
      <c r="BY52" s="318">
        <f>+BY9/BY58*90</f>
        <v>92</v>
      </c>
      <c r="BZ52" s="602">
        <f>+((BZ9+BU9)/2)/BZ58*360</f>
        <v>90.570430766420628</v>
      </c>
      <c r="CA52" s="318">
        <f>+CA9/CA58*90</f>
        <v>69</v>
      </c>
      <c r="CB52" s="318">
        <f>+CB9/CB58*90</f>
        <v>71</v>
      </c>
      <c r="CC52" s="318">
        <f>+CC9/CC58*90</f>
        <v>66</v>
      </c>
      <c r="CD52" s="318">
        <f>+CD9/CD58*90</f>
        <v>90</v>
      </c>
      <c r="CE52" s="602">
        <f>+((CE9+BZ9)/2)/CE58*360</f>
        <v>91.369132121626052</v>
      </c>
    </row>
    <row r="53" spans="2:83" ht="13.35" customHeight="1">
      <c r="B53" s="166" t="s">
        <v>219</v>
      </c>
      <c r="C53" s="205"/>
      <c r="D53" s="205"/>
      <c r="E53" s="205"/>
      <c r="F53" s="205"/>
      <c r="G53" s="205"/>
      <c r="H53" s="318"/>
      <c r="I53" s="205"/>
      <c r="J53" s="205"/>
      <c r="K53" s="205"/>
      <c r="L53" s="318">
        <f>+L27/L59*90</f>
        <v>27.136384939853137</v>
      </c>
      <c r="M53" s="318">
        <f>+((M27+H27)/2)/M59*360</f>
        <v>29.427934621099549</v>
      </c>
      <c r="N53" s="318">
        <f>+N27/N59*90</f>
        <v>27.119605793638943</v>
      </c>
      <c r="O53" s="318">
        <f>+O27/O59*90</f>
        <v>22.253099615220183</v>
      </c>
      <c r="P53" s="318">
        <f>+P27/P59*90</f>
        <v>23.574385868065136</v>
      </c>
      <c r="Q53" s="318">
        <f>+Q27/Q59*90</f>
        <v>70.313276290367099</v>
      </c>
      <c r="R53" s="602">
        <f>+((R27+M27)/2)/R59*360</f>
        <v>48.442884492661143</v>
      </c>
      <c r="S53" s="318">
        <f>+S27/S59*90</f>
        <v>24.185437401781037</v>
      </c>
      <c r="T53" s="318">
        <f>+T27/T59*90</f>
        <v>12.003071803404582</v>
      </c>
      <c r="U53" s="318">
        <f>+U27/U59*90</f>
        <v>21.942104638747182</v>
      </c>
      <c r="V53" s="318">
        <f>+V27/V59*90</f>
        <v>24.337101747173687</v>
      </c>
      <c r="W53" s="602">
        <f>+((W27+R27)/2)/W59*360</f>
        <v>44.284357285123335</v>
      </c>
      <c r="X53" s="318">
        <f>+X27/X59*90</f>
        <v>43.750138320239017</v>
      </c>
      <c r="Y53" s="318">
        <f>+Y27/Y59*90</f>
        <v>54.480297859137451</v>
      </c>
      <c r="Z53" s="318">
        <f>+Z27/Z59*90</f>
        <v>12.457296695135536</v>
      </c>
      <c r="AA53" s="318">
        <f>+AA27/AA59*90</f>
        <v>16.574481458202388</v>
      </c>
      <c r="AB53" s="602">
        <f>+((AB27+W27)/2)/AB59*360</f>
        <v>19.584390003693215</v>
      </c>
      <c r="AC53" s="318">
        <f>+AC27/AC59*90</f>
        <v>33.106079877893663</v>
      </c>
      <c r="AD53" s="318">
        <f>+AD27/AD59*90</f>
        <v>14.905741585607299</v>
      </c>
      <c r="AE53" s="318">
        <f>+AE27/AE59*90</f>
        <v>10.389760528488852</v>
      </c>
      <c r="AF53" s="318">
        <f>+AF27/AF59*90</f>
        <v>7.6601443344989217</v>
      </c>
      <c r="AG53" s="602">
        <f>+((AG27+AB27)/2)/AG59*360</f>
        <v>11.74608361757317</v>
      </c>
      <c r="AH53" s="318">
        <f>+AH27/AH59*90</f>
        <v>8.0538288134435412</v>
      </c>
      <c r="AI53" s="318">
        <f>+AI27/AI59*90</f>
        <v>6.2270270270270274</v>
      </c>
      <c r="AJ53" s="318">
        <f>+AJ27/AJ59*90</f>
        <v>28.249484947165548</v>
      </c>
      <c r="AK53" s="318">
        <f>+AK27/AK59*90</f>
        <v>32.269489894128967</v>
      </c>
      <c r="AL53" s="602">
        <f>+((AL27+AG27)/2)/AL59*360</f>
        <v>20.172129646584875</v>
      </c>
      <c r="AM53" s="318">
        <f>+AM27/AM59*90</f>
        <v>3.2510051694428488</v>
      </c>
      <c r="AN53" s="318">
        <f>+AN27/AN59*90</f>
        <v>5.5963065797120164</v>
      </c>
      <c r="AO53" s="318">
        <f>+AO27/AO59*90</f>
        <v>5.4409417398244218</v>
      </c>
      <c r="AP53" s="318">
        <f>+AP27/AP59*90</f>
        <v>5.0610079575596814</v>
      </c>
      <c r="AQ53" s="602">
        <f>+((AQ27+AL27)/2)/AQ59*360</f>
        <v>18.907168037602819</v>
      </c>
      <c r="AR53" s="318">
        <f>+AR27/AR59*90</f>
        <v>3.5865983156352983</v>
      </c>
      <c r="AS53" s="318">
        <f>+AS27/AS59*90</f>
        <v>7.4674359126866117</v>
      </c>
      <c r="AT53" s="318">
        <f>+AT27/AT59*90</f>
        <v>10.950738916256158</v>
      </c>
      <c r="AU53" s="318">
        <f>+AU27/AU59*90</f>
        <v>3.4994680851063831</v>
      </c>
      <c r="AV53" s="602">
        <f>+((AV27+AQ27)/2)/AV59*360</f>
        <v>4.0447423472655082</v>
      </c>
      <c r="AW53" s="318">
        <f>+AW27/AW59*90</f>
        <v>5.4605160281469898</v>
      </c>
      <c r="AX53" s="318">
        <f>+AX27/AX59*90</f>
        <v>7.5290728129910951</v>
      </c>
      <c r="AY53" s="318">
        <f>+AY27/AY59*90</f>
        <v>4.97710461430081</v>
      </c>
      <c r="AZ53" s="318">
        <f>+AZ27/AZ59*90</f>
        <v>5.5468898611375312</v>
      </c>
      <c r="BA53" s="602">
        <f>+((BA27+AV27)/2)/BA59*360</f>
        <v>4.6082146104880266</v>
      </c>
      <c r="BB53" s="318">
        <f>+BB27/BB59*90</f>
        <v>10.465705835406789</v>
      </c>
      <c r="BC53" s="318">
        <f>+BC27/BC59*90</f>
        <v>8.5721944245889912</v>
      </c>
      <c r="BD53" s="318">
        <f>+BD27/BD59*90</f>
        <v>5.042189574677689</v>
      </c>
      <c r="BE53" s="318">
        <f>+BE27/BE59*90</f>
        <v>10.066520613423622</v>
      </c>
      <c r="BF53" s="602">
        <f>+((BF27+BA27)/2)/BF59*360</f>
        <v>8.0176259266092895</v>
      </c>
      <c r="BG53" s="318">
        <f>+BG27/BG59*90</f>
        <v>6.3619744058500913</v>
      </c>
      <c r="BH53" s="318">
        <f>+BH27/BH59*90</f>
        <v>8.0337217951896847</v>
      </c>
      <c r="BI53" s="318">
        <f>+BI27/BI59*90</f>
        <v>4.360392580886634</v>
      </c>
      <c r="BJ53" s="318">
        <f>+BJ27/BJ59*90</f>
        <v>3.653395784543326</v>
      </c>
      <c r="BK53" s="602">
        <f>+((BK27+BF27)/2)/BK59*360</f>
        <v>7.0297742751908476</v>
      </c>
      <c r="BL53" s="318">
        <f>+BL27/BL59*90</f>
        <v>2.3760795710367972</v>
      </c>
      <c r="BM53" s="318">
        <f>+BM27/BM59*90</f>
        <v>4.8283829769356803</v>
      </c>
      <c r="BN53" s="318">
        <f>+BN27/BN59*90</f>
        <v>4.9136143745680716</v>
      </c>
      <c r="BO53" s="318">
        <f>+BO27/BO59*90</f>
        <v>4.3566092392132942</v>
      </c>
      <c r="BP53" s="602">
        <f>+((BP27+BK27)/2)/BP59*360</f>
        <v>4.0435353575550161</v>
      </c>
      <c r="BQ53" s="318">
        <f>+BQ27/BQ59*90</f>
        <v>4.4388456252863033</v>
      </c>
      <c r="BR53" s="318">
        <f>+BR27/BR59*90</f>
        <v>6.7762205803945461</v>
      </c>
      <c r="BS53" s="318">
        <f>+BS27/BS59*90</f>
        <v>6.5662144315043829</v>
      </c>
      <c r="BT53" s="318">
        <f>+BT27/BT59*90</f>
        <v>4.1225563050188638</v>
      </c>
      <c r="BU53" s="602">
        <f>+((BU27+BP27)/2)/BU59*360</f>
        <v>4.2915838814837679</v>
      </c>
      <c r="BV53" s="318">
        <f>+BV27/BV59*90</f>
        <v>5</v>
      </c>
      <c r="BW53" s="318">
        <f>+BW27/BW59*90</f>
        <v>6</v>
      </c>
      <c r="BX53" s="318">
        <f>+BX27/BX59*90</f>
        <v>6</v>
      </c>
      <c r="BY53" s="318">
        <f>+BY27/BY59*90</f>
        <v>6</v>
      </c>
      <c r="BZ53" s="602">
        <f>+((BZ27+BU27)/2)/BZ59*360</f>
        <v>4.9644496377062239</v>
      </c>
      <c r="CA53" s="318">
        <f>+CA27/CA59*90</f>
        <v>5</v>
      </c>
      <c r="CB53" s="318">
        <f>+CB27/CB59*90</f>
        <v>6</v>
      </c>
      <c r="CC53" s="318">
        <f>+CC27/CC59*90</f>
        <v>6</v>
      </c>
      <c r="CD53" s="318">
        <f>+CD27/CD59*90</f>
        <v>6</v>
      </c>
      <c r="CE53" s="602">
        <f>+((CE27+BZ27)/2)/CE59*360</f>
        <v>5.9383055846822499</v>
      </c>
    </row>
    <row r="54" spans="2:83" ht="13.35" customHeight="1">
      <c r="B54" s="203"/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629" t="str">
        <f t="shared" ref="AB54:BC54" si="216">IF(AB45=AB23,"","CHECK")</f>
        <v/>
      </c>
      <c r="AC54" s="629" t="str">
        <f t="shared" si="216"/>
        <v/>
      </c>
      <c r="AD54" s="629" t="str">
        <f t="shared" si="216"/>
        <v/>
      </c>
      <c r="AE54" s="629" t="str">
        <f t="shared" si="216"/>
        <v/>
      </c>
      <c r="AF54" s="629" t="str">
        <f t="shared" si="216"/>
        <v/>
      </c>
      <c r="AG54" s="629" t="str">
        <f t="shared" si="216"/>
        <v/>
      </c>
      <c r="AH54" s="629" t="str">
        <f t="shared" si="216"/>
        <v/>
      </c>
      <c r="AI54" s="629" t="str">
        <f t="shared" si="216"/>
        <v/>
      </c>
      <c r="AJ54" s="629" t="str">
        <f t="shared" si="216"/>
        <v/>
      </c>
      <c r="AK54" s="629" t="str">
        <f t="shared" si="216"/>
        <v/>
      </c>
      <c r="AL54" s="629" t="str">
        <f t="shared" si="216"/>
        <v/>
      </c>
      <c r="AM54" s="629" t="str">
        <f t="shared" si="216"/>
        <v/>
      </c>
      <c r="AN54" s="629" t="str">
        <f t="shared" si="216"/>
        <v/>
      </c>
      <c r="AO54" s="629" t="str">
        <f t="shared" si="216"/>
        <v/>
      </c>
      <c r="AP54" s="629" t="str">
        <f t="shared" si="216"/>
        <v/>
      </c>
      <c r="AQ54" s="629" t="str">
        <f t="shared" si="216"/>
        <v/>
      </c>
      <c r="AR54" s="629" t="str">
        <f t="shared" si="216"/>
        <v/>
      </c>
      <c r="AS54" s="629" t="str">
        <f t="shared" si="216"/>
        <v/>
      </c>
      <c r="AT54" s="629" t="str">
        <f t="shared" si="216"/>
        <v/>
      </c>
      <c r="AU54" s="629" t="str">
        <f t="shared" si="216"/>
        <v/>
      </c>
      <c r="AV54" s="629" t="str">
        <f t="shared" si="216"/>
        <v/>
      </c>
      <c r="AW54" s="629" t="str">
        <f t="shared" si="216"/>
        <v/>
      </c>
      <c r="AX54" s="629" t="str">
        <f t="shared" si="216"/>
        <v/>
      </c>
      <c r="AY54" s="629" t="str">
        <f t="shared" si="216"/>
        <v/>
      </c>
      <c r="AZ54" s="629" t="str">
        <f t="shared" si="216"/>
        <v/>
      </c>
      <c r="BA54" s="629" t="str">
        <f t="shared" si="216"/>
        <v/>
      </c>
      <c r="BB54" s="629" t="str">
        <f t="shared" si="216"/>
        <v/>
      </c>
      <c r="BC54" s="629" t="str">
        <f t="shared" si="216"/>
        <v/>
      </c>
      <c r="BD54" s="629"/>
      <c r="BE54" s="629" t="str">
        <f t="shared" ref="BE54:BK54" si="217">IF(BE45=BE23,"","CHECK")</f>
        <v/>
      </c>
      <c r="BF54" s="629" t="str">
        <f t="shared" si="217"/>
        <v/>
      </c>
      <c r="BG54" s="629" t="str">
        <f t="shared" si="217"/>
        <v/>
      </c>
      <c r="BH54" s="629" t="str">
        <f t="shared" si="217"/>
        <v/>
      </c>
      <c r="BI54" s="629" t="str">
        <f t="shared" si="217"/>
        <v/>
      </c>
      <c r="BJ54" s="629" t="str">
        <f t="shared" si="217"/>
        <v/>
      </c>
      <c r="BK54" s="629" t="str">
        <f t="shared" si="217"/>
        <v/>
      </c>
      <c r="BL54" s="629" t="str">
        <f t="shared" ref="BL54:BP54" si="218">IF(BL45=BL23,"","CHECK")</f>
        <v/>
      </c>
      <c r="BM54" s="629" t="str">
        <f t="shared" si="218"/>
        <v/>
      </c>
      <c r="BN54" s="629" t="str">
        <f t="shared" si="218"/>
        <v/>
      </c>
      <c r="BO54" s="629" t="str">
        <f t="shared" si="218"/>
        <v/>
      </c>
      <c r="BP54" s="629" t="str">
        <f t="shared" si="218"/>
        <v/>
      </c>
      <c r="BQ54" s="629" t="str">
        <f t="shared" ref="BQ54:BU54" si="219">IF(BQ45=BQ23,"","CHECK")</f>
        <v/>
      </c>
      <c r="BR54" s="629" t="str">
        <f t="shared" si="219"/>
        <v/>
      </c>
      <c r="BS54" s="629" t="str">
        <f t="shared" si="219"/>
        <v/>
      </c>
      <c r="BT54" s="629" t="str">
        <f t="shared" si="219"/>
        <v/>
      </c>
      <c r="BU54" s="629" t="str">
        <f t="shared" si="219"/>
        <v/>
      </c>
      <c r="BV54" s="629" t="str">
        <f t="shared" ref="BV54:BZ54" si="220">IF(BV45=BV23,"","CHECK")</f>
        <v/>
      </c>
      <c r="BW54" s="629" t="str">
        <f t="shared" si="220"/>
        <v/>
      </c>
      <c r="BX54" s="629" t="str">
        <f t="shared" si="220"/>
        <v/>
      </c>
      <c r="BY54" s="629" t="str">
        <f t="shared" si="220"/>
        <v/>
      </c>
      <c r="BZ54" s="629" t="str">
        <f t="shared" si="220"/>
        <v/>
      </c>
      <c r="CA54" s="629" t="str">
        <f t="shared" ref="CA54:CE54" si="221">IF(CA45=CA23,"","CHECK")</f>
        <v/>
      </c>
      <c r="CB54" s="629" t="str">
        <f t="shared" si="221"/>
        <v/>
      </c>
      <c r="CC54" s="629" t="str">
        <f t="shared" si="221"/>
        <v/>
      </c>
      <c r="CD54" s="629" t="str">
        <f t="shared" si="221"/>
        <v/>
      </c>
      <c r="CE54" s="629" t="str">
        <f t="shared" si="221"/>
        <v/>
      </c>
    </row>
    <row r="55" spans="2:83" ht="6" customHeight="1">
      <c r="B55" s="190"/>
      <c r="C55" s="170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66"/>
      <c r="BI55" s="166"/>
      <c r="BJ55" s="166"/>
      <c r="BK55" s="166"/>
      <c r="BL55" s="166"/>
      <c r="BM55" s="166"/>
      <c r="BN55" s="166"/>
      <c r="BO55" s="166"/>
      <c r="BP55" s="166"/>
      <c r="BQ55" s="166"/>
      <c r="BR55" s="166"/>
      <c r="BS55" s="166"/>
      <c r="BT55" s="166"/>
      <c r="BU55" s="166"/>
      <c r="BV55" s="166"/>
      <c r="BW55" s="166"/>
      <c r="BX55" s="166"/>
      <c r="BY55" s="166"/>
      <c r="BZ55" s="166"/>
      <c r="CA55" s="166"/>
      <c r="CB55" s="166"/>
      <c r="CC55" s="166"/>
      <c r="CD55" s="166"/>
      <c r="CE55" s="166"/>
    </row>
    <row r="56" spans="2:83" ht="13.35" customHeight="1" thickBot="1">
      <c r="B56" s="197" t="s">
        <v>167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198"/>
      <c r="AR56" s="198"/>
      <c r="AS56" s="198"/>
      <c r="AT56" s="198"/>
      <c r="AU56" s="198"/>
      <c r="AV56" s="198"/>
      <c r="AW56" s="198"/>
      <c r="AX56" s="198"/>
      <c r="AY56" s="198"/>
      <c r="AZ56" s="198"/>
      <c r="BA56" s="198"/>
      <c r="BB56" s="198"/>
      <c r="BC56" s="198"/>
      <c r="BD56" s="198"/>
      <c r="BE56" s="198"/>
      <c r="BF56" s="198"/>
      <c r="BG56" s="198"/>
      <c r="BH56" s="198"/>
      <c r="BI56" s="198"/>
      <c r="BJ56" s="198"/>
      <c r="BK56" s="198"/>
      <c r="BL56" s="198"/>
      <c r="BM56" s="198"/>
      <c r="BN56" s="198"/>
      <c r="BO56" s="198"/>
      <c r="BP56" s="198"/>
      <c r="BQ56" s="198"/>
      <c r="BR56" s="198"/>
      <c r="BS56" s="198"/>
      <c r="BT56" s="198"/>
      <c r="BU56" s="198"/>
      <c r="BV56" s="198"/>
      <c r="BW56" s="198"/>
      <c r="BX56" s="198"/>
      <c r="BY56" s="198"/>
      <c r="BZ56" s="198"/>
      <c r="CA56" s="198"/>
      <c r="CB56" s="198"/>
      <c r="CC56" s="198"/>
      <c r="CD56" s="198"/>
      <c r="CE56" s="198"/>
    </row>
    <row r="57" spans="2:83" ht="13.35" customHeight="1">
      <c r="B57" s="635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6"/>
      <c r="R57" s="636"/>
      <c r="S57" s="636"/>
      <c r="T57" s="636"/>
      <c r="U57" s="636"/>
      <c r="V57" s="636"/>
      <c r="W57" s="636"/>
      <c r="X57" s="636"/>
      <c r="Y57" s="636"/>
      <c r="Z57" s="636"/>
      <c r="AA57" s="636"/>
      <c r="AB57" s="636"/>
      <c r="AC57" s="636"/>
      <c r="AD57" s="636"/>
      <c r="AE57" s="636"/>
      <c r="AF57" s="636"/>
      <c r="AG57" s="636"/>
      <c r="AH57" s="636"/>
      <c r="AI57" s="636"/>
      <c r="AJ57" s="636"/>
      <c r="AK57" s="636"/>
      <c r="AL57" s="636"/>
      <c r="AM57" s="636"/>
      <c r="AN57" s="636"/>
      <c r="AO57" s="636"/>
      <c r="AP57" s="636"/>
      <c r="AQ57" s="636"/>
      <c r="AR57" s="636"/>
      <c r="AS57" s="636"/>
      <c r="AT57" s="636"/>
      <c r="AU57" s="636"/>
      <c r="AV57" s="636"/>
      <c r="AW57" s="636"/>
      <c r="AX57" s="636"/>
      <c r="AY57" s="636"/>
      <c r="AZ57" s="636"/>
      <c r="BA57" s="636"/>
      <c r="BB57" s="636"/>
      <c r="BC57" s="636"/>
      <c r="BD57" s="636"/>
      <c r="BE57" s="636"/>
      <c r="BF57" s="636"/>
      <c r="BG57" s="636"/>
      <c r="BH57" s="636"/>
      <c r="BI57" s="636"/>
      <c r="BJ57" s="636"/>
      <c r="BK57" s="636"/>
      <c r="BL57" s="636"/>
      <c r="BM57" s="636"/>
      <c r="BN57" s="636"/>
      <c r="BO57" s="636"/>
      <c r="BP57" s="636"/>
      <c r="BQ57" s="636"/>
      <c r="BR57" s="636"/>
      <c r="BS57" s="636"/>
      <c r="BT57" s="636"/>
      <c r="BU57" s="636"/>
      <c r="BV57" s="636"/>
      <c r="BW57" s="636"/>
      <c r="BX57" s="636"/>
      <c r="BY57" s="636"/>
      <c r="BZ57" s="636"/>
      <c r="CA57" s="636"/>
      <c r="CB57" s="636"/>
      <c r="CC57" s="636"/>
      <c r="CD57" s="636"/>
      <c r="CE57" s="636"/>
    </row>
    <row r="58" spans="2:83" ht="13.35" customHeight="1">
      <c r="B58" s="166" t="s">
        <v>157</v>
      </c>
      <c r="C58" s="166"/>
      <c r="D58" s="383">
        <f>+IS!D9</f>
        <v>21191</v>
      </c>
      <c r="E58" s="383">
        <f>+IS!E9</f>
        <v>22190</v>
      </c>
      <c r="F58" s="383">
        <f>+IS!F9</f>
        <v>23382</v>
      </c>
      <c r="G58" s="383">
        <f>+IS!G9</f>
        <v>24657</v>
      </c>
      <c r="H58" s="383">
        <f>+IS!H9</f>
        <v>91420</v>
      </c>
      <c r="I58" s="383">
        <f>+IS!I9</f>
        <v>24883</v>
      </c>
      <c r="J58" s="383">
        <f>+IS!J9</f>
        <v>26291</v>
      </c>
      <c r="K58" s="383">
        <f>+IS!K9</f>
        <v>27749</v>
      </c>
      <c r="L58" s="383">
        <f>+IS!L9</f>
        <v>29039.000000000011</v>
      </c>
      <c r="M58" s="383">
        <f>+IS!M9</f>
        <v>107962.00000000001</v>
      </c>
      <c r="N58" s="383">
        <f>+IS!N9</f>
        <v>30356</v>
      </c>
      <c r="O58" s="383">
        <f>+IS!O9</f>
        <v>32302</v>
      </c>
      <c r="P58" s="383">
        <f>+IS!P9</f>
        <v>34348</v>
      </c>
      <c r="Q58" s="383">
        <f>+IS!Q9</f>
        <v>36573</v>
      </c>
      <c r="R58" s="383">
        <f>+IS!R9</f>
        <v>133579</v>
      </c>
      <c r="S58" s="383">
        <f>+IS!S9</f>
        <v>37493</v>
      </c>
      <c r="T58" s="383">
        <f>+IS!T9</f>
        <v>39877</v>
      </c>
      <c r="U58" s="383">
        <f>+IS!U9</f>
        <v>42469</v>
      </c>
      <c r="V58" s="383">
        <f>+IS!V9</f>
        <v>44445</v>
      </c>
      <c r="W58" s="383">
        <f>+IS!W9</f>
        <v>164284</v>
      </c>
      <c r="X58" s="383">
        <f>+IS!X9</f>
        <v>46248</v>
      </c>
      <c r="Y58" s="383">
        <f>+IS!Y9</f>
        <v>48466</v>
      </c>
      <c r="Z58" s="383">
        <f>+IS!Z9</f>
        <v>50987</v>
      </c>
      <c r="AA58" s="383">
        <f>+IS!AA9</f>
        <v>52224</v>
      </c>
      <c r="AB58" s="383">
        <f>+IS!AB9</f>
        <v>197925</v>
      </c>
      <c r="AC58" s="383">
        <f>+IS!AC9</f>
        <v>53121</v>
      </c>
      <c r="AD58" s="383">
        <f>+IS!AD9</f>
        <v>55302</v>
      </c>
      <c r="AE58" s="383">
        <f>+IS!AE9</f>
        <v>59490</v>
      </c>
      <c r="AF58" s="383">
        <f>+IS!AF9</f>
        <v>62915</v>
      </c>
      <c r="AG58" s="383">
        <f>+IS!AG9</f>
        <v>230828</v>
      </c>
      <c r="AH58" s="383">
        <f>+IS!AH9</f>
        <v>64878</v>
      </c>
      <c r="AI58" s="383">
        <f>+IS!AI9</f>
        <v>68153</v>
      </c>
      <c r="AJ58" s="383">
        <f>+IS!AJ9</f>
        <v>71658</v>
      </c>
      <c r="AK58" s="383">
        <f>+IS!AK9</f>
        <v>74200</v>
      </c>
      <c r="AL58" s="383">
        <f>+IS!AL9</f>
        <v>278889</v>
      </c>
      <c r="AM58" s="383">
        <f>+IS!AM9</f>
        <v>75343</v>
      </c>
      <c r="AN58" s="383">
        <f>+IS!AN9</f>
        <v>78929</v>
      </c>
      <c r="AO58" s="383">
        <f>+IS!AO9</f>
        <v>82671</v>
      </c>
      <c r="AP58" s="383">
        <f>+IS!AP9</f>
        <v>84664</v>
      </c>
      <c r="AQ58" s="383">
        <f>+IS!AQ9</f>
        <v>321607</v>
      </c>
      <c r="AR58" s="383">
        <f>+IS!AR9</f>
        <v>86263</v>
      </c>
      <c r="AS58" s="383">
        <f>+IS!AS9</f>
        <v>88830</v>
      </c>
      <c r="AT58" s="383">
        <f>+IS!AT9</f>
        <v>93069</v>
      </c>
      <c r="AU58" s="383">
        <f>+IS!AU9</f>
        <v>94801</v>
      </c>
      <c r="AV58" s="383">
        <f>+IS!AV9</f>
        <v>362963</v>
      </c>
      <c r="AW58" s="383">
        <f>+IS!AW9</f>
        <v>96756</v>
      </c>
      <c r="AX58" s="383">
        <f>+IS!AX9</f>
        <v>99702</v>
      </c>
      <c r="AY58" s="383">
        <f>+IS!AY9</f>
        <v>104934</v>
      </c>
      <c r="AZ58" s="383">
        <f>+IS!AZ9</f>
        <v>109780</v>
      </c>
      <c r="BA58" s="383">
        <f>+IS!BA9</f>
        <v>411172</v>
      </c>
      <c r="BB58" s="383">
        <f>+IS!BB9</f>
        <v>113420</v>
      </c>
      <c r="BC58" s="383">
        <f>+IS!BC9</f>
        <v>119893</v>
      </c>
      <c r="BD58" s="383">
        <f>+IS!BD9</f>
        <v>125561</v>
      </c>
      <c r="BE58" s="383">
        <f>+IS!BE9</f>
        <v>130849</v>
      </c>
      <c r="BF58" s="383">
        <f>+IS!BF9</f>
        <v>489723</v>
      </c>
      <c r="BG58" s="383">
        <f>+IS!BG9</f>
        <v>130683</v>
      </c>
      <c r="BH58" s="383">
        <f>+IS!BH9</f>
        <v>137209</v>
      </c>
      <c r="BI58" s="383">
        <f>+IS!BI9</f>
        <v>141996</v>
      </c>
      <c r="BJ58" s="383">
        <f>+IS!BJ9</f>
        <v>144570</v>
      </c>
      <c r="BK58" s="383">
        <f>+IS!BK9</f>
        <v>554458</v>
      </c>
      <c r="BL58" s="383">
        <f>+IS!BL9</f>
        <v>145805</v>
      </c>
      <c r="BM58" s="383">
        <f>+IS!BM9</f>
        <v>148708</v>
      </c>
      <c r="BN58" s="383">
        <f>+IS!BN9</f>
        <v>153867</v>
      </c>
      <c r="BO58" s="383">
        <f>+IS!BO9</f>
        <v>159191</v>
      </c>
      <c r="BP58" s="383">
        <f>+IS!BP9</f>
        <v>607571</v>
      </c>
      <c r="BQ58" s="383">
        <f>+IS!BQ9</f>
        <v>159899</v>
      </c>
      <c r="BR58" s="383">
        <f>+IS!BR9</f>
        <v>164062</v>
      </c>
      <c r="BS58" s="383">
        <f>+IS!BS9</f>
        <v>169882</v>
      </c>
      <c r="BT58" s="383">
        <f>+IS!BT9</f>
        <v>175282</v>
      </c>
      <c r="BU58" s="383">
        <f>+IS!BU9</f>
        <v>669125</v>
      </c>
      <c r="BV58" s="383">
        <f>+IS!BV9</f>
        <v>173490.41500000001</v>
      </c>
      <c r="BW58" s="383">
        <f>+IS!BW9</f>
        <v>177186.96000000002</v>
      </c>
      <c r="BX58" s="383">
        <f>+IS!BX9</f>
        <v>182623.15</v>
      </c>
      <c r="BY58" s="383">
        <f>+IS!BY9</f>
        <v>187551.74000000002</v>
      </c>
      <c r="BZ58" s="383">
        <f>+IS!BZ9</f>
        <v>720852.26500000013</v>
      </c>
      <c r="CA58" s="383">
        <f>+IS!CA9</f>
        <v>187369.64820000003</v>
      </c>
      <c r="CB58" s="383">
        <f>+IS!CB9</f>
        <v>189590.04720000003</v>
      </c>
      <c r="CC58" s="383">
        <f>+IS!CC9</f>
        <v>193580.53899999999</v>
      </c>
      <c r="CD58" s="383">
        <f>+IS!CD9</f>
        <v>198804.84440000003</v>
      </c>
      <c r="CE58" s="383">
        <f>+IS!CE9</f>
        <v>769345.07880000013</v>
      </c>
    </row>
    <row r="59" spans="2:83" ht="13.35" customHeight="1">
      <c r="B59" s="166" t="s">
        <v>245</v>
      </c>
      <c r="C59" s="166"/>
      <c r="D59" s="182">
        <f>+IS!E14</f>
        <v>4555.9999999999991</v>
      </c>
      <c r="E59" s="182">
        <f>+IS!F14</f>
        <v>4566.0000000000009</v>
      </c>
      <c r="F59" s="182">
        <f>+IS!G14</f>
        <v>4899.9999999999991</v>
      </c>
      <c r="G59" s="182">
        <f>+IS!G14</f>
        <v>4899.9999999999991</v>
      </c>
      <c r="H59" s="182">
        <f>+IS!H14</f>
        <v>18128</v>
      </c>
      <c r="I59" s="182">
        <f>+IS!I14</f>
        <v>5702</v>
      </c>
      <c r="J59" s="182">
        <f>+IS!J14</f>
        <v>5813.0000000000009</v>
      </c>
      <c r="K59" s="182">
        <f>+IS!K14</f>
        <v>6312</v>
      </c>
      <c r="L59" s="182">
        <f>+IS!L14</f>
        <v>6401.0000000000018</v>
      </c>
      <c r="M59" s="182">
        <f>+IS!M14</f>
        <v>24228.000000000004</v>
      </c>
      <c r="N59" s="182">
        <f>+IS!N14</f>
        <v>6697</v>
      </c>
      <c r="O59" s="182">
        <f>+IS!O14</f>
        <v>7016.9999999999991</v>
      </c>
      <c r="P59" s="182">
        <f>+IS!P14</f>
        <v>7246</v>
      </c>
      <c r="Q59" s="182">
        <f>+IS!Q14</f>
        <v>7246</v>
      </c>
      <c r="R59" s="182">
        <f>+IS!R14</f>
        <v>28206</v>
      </c>
      <c r="S59" s="182">
        <f>+IS!S14</f>
        <v>7636</v>
      </c>
      <c r="T59" s="182">
        <f>+IS!T14</f>
        <v>7813</v>
      </c>
      <c r="U59" s="182">
        <f>+IS!U14</f>
        <v>8429</v>
      </c>
      <c r="V59" s="182">
        <f>+IS!V14</f>
        <v>8757.0000000000018</v>
      </c>
      <c r="W59" s="182">
        <f>+IS!W14</f>
        <v>32635</v>
      </c>
      <c r="X59" s="182">
        <f>+IS!X14</f>
        <v>9037</v>
      </c>
      <c r="Y59" s="182">
        <f>+IS!Y14</f>
        <v>9669</v>
      </c>
      <c r="Z59" s="182">
        <f>+IS!Z14</f>
        <v>10772</v>
      </c>
      <c r="AA59" s="182">
        <f>+IS!AA14</f>
        <v>11137</v>
      </c>
      <c r="AB59" s="182">
        <f>+IS!AB14</f>
        <v>40615</v>
      </c>
      <c r="AC59" s="182">
        <f>+IS!AC14</f>
        <v>11793.000000000002</v>
      </c>
      <c r="AD59" s="182">
        <f>+IS!AD14</f>
        <v>11617</v>
      </c>
      <c r="AE59" s="182">
        <f>+IS!AE14</f>
        <v>12110</v>
      </c>
      <c r="AF59" s="182">
        <f>+IS!AF14</f>
        <v>13441</v>
      </c>
      <c r="AG59" s="182">
        <f>+IS!AG14</f>
        <v>48961</v>
      </c>
      <c r="AH59" s="182">
        <f>+IS!AH14</f>
        <v>14639</v>
      </c>
      <c r="AI59" s="182">
        <f>+IS!AI14</f>
        <v>14800</v>
      </c>
      <c r="AJ59" s="182">
        <f>+IS!AJ14</f>
        <v>15047</v>
      </c>
      <c r="AK59" s="182">
        <f>+IS!AK14</f>
        <v>15585</v>
      </c>
      <c r="AL59" s="182">
        <f>+IS!AL14</f>
        <v>60071</v>
      </c>
      <c r="AM59" s="182">
        <f>+IS!AM14</f>
        <v>15669</v>
      </c>
      <c r="AN59" s="182">
        <f>+IS!AN14</f>
        <v>15487</v>
      </c>
      <c r="AO59" s="182">
        <f>+IS!AO14</f>
        <v>15036</v>
      </c>
      <c r="AP59" s="182">
        <f>+IS!AP14</f>
        <v>15080</v>
      </c>
      <c r="AQ59" s="182">
        <f>+IS!AQ14</f>
        <v>61272</v>
      </c>
      <c r="AR59" s="182">
        <f>+IS!AR14</f>
        <v>16386</v>
      </c>
      <c r="AS59" s="182">
        <f>+IS!AS14</f>
        <v>16813</v>
      </c>
      <c r="AT59" s="182">
        <f>+IS!AT14</f>
        <v>18270</v>
      </c>
      <c r="AU59" s="182">
        <f>+IS!AU14</f>
        <v>18800</v>
      </c>
      <c r="AV59" s="182">
        <f>+IS!AV14</f>
        <v>70269</v>
      </c>
      <c r="AW59" s="182">
        <f>+IS!AW14</f>
        <v>19185</v>
      </c>
      <c r="AX59" s="182">
        <f>+IS!AX14</f>
        <v>19090</v>
      </c>
      <c r="AY59" s="182">
        <f>+IS!AY14</f>
        <v>19873</v>
      </c>
      <c r="AZ59" s="182">
        <f>+IS!AZ14</f>
        <v>21028</v>
      </c>
      <c r="BA59" s="182">
        <f>+IS!BA14</f>
        <v>79176</v>
      </c>
      <c r="BB59" s="182">
        <f>+IS!BB14</f>
        <v>21301</v>
      </c>
      <c r="BC59" s="182">
        <f>+IS!BC14</f>
        <v>22384</v>
      </c>
      <c r="BD59" s="182">
        <f>+IS!BD14</f>
        <v>23347</v>
      </c>
      <c r="BE59" s="182">
        <f>+IS!BE14</f>
        <v>25105</v>
      </c>
      <c r="BF59" s="182">
        <f>+IS!BF14</f>
        <v>92137</v>
      </c>
      <c r="BG59" s="182">
        <f>+IS!BG14</f>
        <v>24615</v>
      </c>
      <c r="BH59" s="182">
        <f>+IS!BH14</f>
        <v>24198</v>
      </c>
      <c r="BI59" s="182">
        <f>+IS!BI14</f>
        <v>24046</v>
      </c>
      <c r="BJ59" s="182">
        <f>+IS!BJ14</f>
        <v>24339</v>
      </c>
      <c r="BK59" s="182">
        <f>+IS!BK14</f>
        <v>97198</v>
      </c>
      <c r="BL59" s="182">
        <f>+IS!BL14</f>
        <v>24431</v>
      </c>
      <c r="BM59" s="182">
        <f>+IS!BM14</f>
        <v>23803</v>
      </c>
      <c r="BN59" s="182">
        <f>+IS!BN14</f>
        <v>26046</v>
      </c>
      <c r="BO59" s="182">
        <f>+IS!BO14</f>
        <v>26236</v>
      </c>
      <c r="BP59" s="182">
        <f>+IS!BP14</f>
        <v>100516</v>
      </c>
      <c r="BQ59" s="182">
        <f>+IS!BQ14</f>
        <v>26196</v>
      </c>
      <c r="BR59" s="182">
        <f>+IS!BR14</f>
        <v>26258</v>
      </c>
      <c r="BS59" s="182">
        <f>+IS!BS14</f>
        <v>24987</v>
      </c>
      <c r="BT59" s="182">
        <f>+IS!BT14</f>
        <v>26241</v>
      </c>
      <c r="BU59" s="182">
        <f>+IS!BU14</f>
        <v>103682</v>
      </c>
      <c r="BV59" s="182">
        <f>+IS!BV14</f>
        <v>27758.466400000005</v>
      </c>
      <c r="BW59" s="182">
        <f>+IS!BW14</f>
        <v>28349.9136</v>
      </c>
      <c r="BX59" s="182">
        <f>+IS!BX14</f>
        <v>28671.83455</v>
      </c>
      <c r="BY59" s="182">
        <f>+IS!BY14</f>
        <v>29070.519700000004</v>
      </c>
      <c r="BZ59" s="182">
        <f>+IS!BZ14</f>
        <v>113850.73425000001</v>
      </c>
      <c r="CA59" s="182">
        <f>+IS!CA14</f>
        <v>29604.404415600002</v>
      </c>
      <c r="CB59" s="182">
        <f>+IS!CB14</f>
        <v>29576.047363200021</v>
      </c>
      <c r="CC59" s="182">
        <f>+IS!CC14</f>
        <v>30004.983544999996</v>
      </c>
      <c r="CD59" s="182">
        <f>+IS!CD14</f>
        <v>29820.726660000015</v>
      </c>
      <c r="CE59" s="182">
        <f>+IS!CE14</f>
        <v>119006.16198380003</v>
      </c>
    </row>
    <row r="60" spans="2:83" ht="13.35" customHeight="1">
      <c r="B60" s="166" t="s">
        <v>243</v>
      </c>
      <c r="C60" s="166"/>
      <c r="D60" s="182">
        <f>+IS!D37</f>
        <v>16539</v>
      </c>
      <c r="E60" s="182">
        <f>+IS!E37</f>
        <v>16968</v>
      </c>
      <c r="F60" s="182">
        <f>+IS!F37</f>
        <v>16068</v>
      </c>
      <c r="G60" s="182">
        <f>+IS!G37</f>
        <v>17259.999999999996</v>
      </c>
      <c r="H60" s="182">
        <f>+IS!H37</f>
        <v>66835</v>
      </c>
      <c r="I60" s="182">
        <f>+IS!I37</f>
        <v>18505</v>
      </c>
      <c r="J60" s="182">
        <f>+IS!J37</f>
        <v>18377</v>
      </c>
      <c r="K60" s="182">
        <f>+IS!K37</f>
        <v>18321</v>
      </c>
      <c r="L60" s="182">
        <f>+IS!L37</f>
        <v>20716.000000000004</v>
      </c>
      <c r="M60" s="182">
        <f>+IS!M37</f>
        <v>75919</v>
      </c>
      <c r="N60" s="182">
        <f>+IS!N37</f>
        <v>21794</v>
      </c>
      <c r="O60" s="182">
        <f>+IS!O37</f>
        <v>21015</v>
      </c>
      <c r="P60" s="182">
        <f>+IS!P37</f>
        <v>21101</v>
      </c>
      <c r="Q60" s="182">
        <f>+IS!Q37</f>
        <v>21667</v>
      </c>
      <c r="R60" s="182">
        <f>+IS!R37</f>
        <v>85577</v>
      </c>
      <c r="S60" s="182">
        <f>+IS!S37</f>
        <v>21062</v>
      </c>
      <c r="T60" s="182">
        <f>+IS!T37</f>
        <v>22370</v>
      </c>
      <c r="U60" s="182">
        <f>+IS!U37</f>
        <v>22741</v>
      </c>
      <c r="V60" s="182">
        <f>+IS!V37</f>
        <v>23176</v>
      </c>
      <c r="W60" s="182">
        <f>+IS!W37</f>
        <v>89349</v>
      </c>
      <c r="X60" s="182">
        <f>+IS!X37</f>
        <v>24917</v>
      </c>
      <c r="Y60" s="182">
        <f>+IS!Y37</f>
        <v>27047</v>
      </c>
      <c r="Z60" s="182">
        <f>+IS!Z37</f>
        <v>27125</v>
      </c>
      <c r="AA60" s="182">
        <f>+IS!AA37</f>
        <v>27249</v>
      </c>
      <c r="AB60" s="182">
        <f>+IS!AB37</f>
        <v>106338</v>
      </c>
      <c r="AC60" s="182">
        <f>+IS!AC37</f>
        <v>29340</v>
      </c>
      <c r="AD60" s="182">
        <f>+IS!AD37</f>
        <v>28229</v>
      </c>
      <c r="AE60" s="182">
        <f>+IS!AE37</f>
        <v>28702</v>
      </c>
      <c r="AF60" s="182">
        <f>+IS!AF37</f>
        <v>30839</v>
      </c>
      <c r="AG60" s="182">
        <f>+IS!AG37</f>
        <v>117110</v>
      </c>
      <c r="AH60" s="182">
        <f>+IS!AH37</f>
        <v>32056</v>
      </c>
      <c r="AI60" s="182">
        <f>+IS!AI37</f>
        <v>32986</v>
      </c>
      <c r="AJ60" s="182">
        <f>+IS!AJ37</f>
        <v>30859</v>
      </c>
      <c r="AK60" s="182">
        <f>+IS!AK37</f>
        <v>35791</v>
      </c>
      <c r="AL60" s="182">
        <f>+IS!AL37</f>
        <v>131692</v>
      </c>
      <c r="AM60" s="182">
        <f>+IS!AM37</f>
        <v>35464</v>
      </c>
      <c r="AN60" s="182">
        <f>+IS!AN37</f>
        <v>36420</v>
      </c>
      <c r="AO60" s="182">
        <f>+IS!AO37</f>
        <v>35183</v>
      </c>
      <c r="AP60" s="182">
        <f>+IS!AP37</f>
        <v>38790</v>
      </c>
      <c r="AQ60" s="182">
        <f>+IS!AQ37</f>
        <v>145857</v>
      </c>
      <c r="AR60" s="182">
        <f>+IS!AR37</f>
        <v>37929</v>
      </c>
      <c r="AS60" s="182">
        <f>+IS!AS37</f>
        <v>35545</v>
      </c>
      <c r="AT60" s="182">
        <f>+IS!AT37</f>
        <v>36403</v>
      </c>
      <c r="AU60" s="182">
        <f>+IS!AU37</f>
        <v>39840</v>
      </c>
      <c r="AV60" s="182">
        <f>+IS!AV37</f>
        <v>149717</v>
      </c>
      <c r="AW60" s="182">
        <f>+IS!AW37</f>
        <v>40429</v>
      </c>
      <c r="AX60" s="182">
        <f>+IS!AX37</f>
        <v>41051</v>
      </c>
      <c r="AY60" s="182">
        <f>+IS!AY37</f>
        <v>41956</v>
      </c>
      <c r="AZ60" s="182">
        <f>+IS!AZ37</f>
        <v>46637</v>
      </c>
      <c r="BA60" s="182">
        <f>+IS!BA37</f>
        <v>170073</v>
      </c>
      <c r="BB60" s="182">
        <f>+IS!BB37</f>
        <v>45133</v>
      </c>
      <c r="BC60" s="182">
        <f>+IS!BC37</f>
        <v>50222</v>
      </c>
      <c r="BD60" s="182">
        <f>+IS!BD37</f>
        <v>54231</v>
      </c>
      <c r="BE60" s="182">
        <f>+IS!BE37</f>
        <v>58359</v>
      </c>
      <c r="BF60" s="182">
        <f>+IS!BF37</f>
        <v>207945</v>
      </c>
      <c r="BG60" s="182">
        <f>+IS!BG37</f>
        <v>54085</v>
      </c>
      <c r="BH60" s="182">
        <f>+IS!BH37</f>
        <v>53407</v>
      </c>
      <c r="BI60" s="182">
        <f>+IS!BI37</f>
        <v>55061</v>
      </c>
      <c r="BJ60" s="182">
        <f>+IS!BJ37</f>
        <v>59472</v>
      </c>
      <c r="BK60" s="182">
        <f>+IS!BK37</f>
        <v>222025</v>
      </c>
      <c r="BL60" s="182">
        <f>+IS!BL37</f>
        <v>56810</v>
      </c>
      <c r="BM60" s="182">
        <f>+IS!BM37</f>
        <v>58980</v>
      </c>
      <c r="BN60" s="182">
        <f>+IS!BN37</f>
        <v>61809</v>
      </c>
      <c r="BO60" s="182">
        <f>+IS!BO37</f>
        <v>62224</v>
      </c>
      <c r="BP60" s="182">
        <f>+IS!BP37</f>
        <v>239823</v>
      </c>
      <c r="BQ60" s="182">
        <f>+IS!BQ37</f>
        <v>62488</v>
      </c>
      <c r="BR60" s="182">
        <f>+IS!BR37</f>
        <v>67712</v>
      </c>
      <c r="BS60" s="182">
        <f>+IS!BS37</f>
        <v>64854</v>
      </c>
      <c r="BT60" s="182">
        <f>+IS!BT37</f>
        <v>68914</v>
      </c>
      <c r="BU60" s="182">
        <f>+IS!BU37</f>
        <v>263968</v>
      </c>
      <c r="BV60" s="182">
        <f>+IS!BV37</f>
        <v>70689.19</v>
      </c>
      <c r="BW60" s="182">
        <f>+IS!BW37</f>
        <v>74631.550099999993</v>
      </c>
      <c r="BX60" s="182">
        <f>+IS!BX37</f>
        <v>77495.594366000005</v>
      </c>
      <c r="BY60" s="182">
        <f>+IS!BY37</f>
        <v>82039.677226500004</v>
      </c>
      <c r="BZ60" s="182">
        <f>+IS!BZ37</f>
        <v>304856.01169250003</v>
      </c>
      <c r="CA60" s="182">
        <f>+IS!CA37</f>
        <v>79165.041446568008</v>
      </c>
      <c r="CB60" s="182">
        <f>+IS!CB37</f>
        <v>79697.849619239045</v>
      </c>
      <c r="CC60" s="182">
        <f>+IS!CC37</f>
        <v>79914.148268964724</v>
      </c>
      <c r="CD60" s="182">
        <f>+IS!CD37</f>
        <v>81122.184007133154</v>
      </c>
      <c r="CE60" s="182">
        <f>+IS!CE37</f>
        <v>319899.22334190493</v>
      </c>
    </row>
    <row r="61" spans="2:83" ht="13.35" customHeight="1">
      <c r="B61" s="166" t="s">
        <v>14</v>
      </c>
      <c r="C61" s="183"/>
      <c r="D61" s="182">
        <f>+IS!E62</f>
        <v>25996</v>
      </c>
      <c r="E61" s="182">
        <f>+IS!F62</f>
        <v>26545</v>
      </c>
      <c r="F61" s="182">
        <f>+IS!G62</f>
        <v>35064</v>
      </c>
      <c r="G61" s="182">
        <f>+IS!G62</f>
        <v>35064</v>
      </c>
      <c r="H61" s="182">
        <f>+IS!H62</f>
        <v>28186.25</v>
      </c>
      <c r="I61" s="182">
        <f>+IS!I62</f>
        <v>35317</v>
      </c>
      <c r="J61" s="182">
        <f>+IS!J62</f>
        <v>35393</v>
      </c>
      <c r="K61" s="182">
        <f>+IS!K62</f>
        <v>36247</v>
      </c>
      <c r="L61" s="182">
        <f>+IS!L62</f>
        <v>36678</v>
      </c>
      <c r="M61" s="182">
        <f>+IS!M62</f>
        <v>35908.75</v>
      </c>
      <c r="N61" s="182">
        <f>+IS!N62</f>
        <v>37082</v>
      </c>
      <c r="O61" s="182">
        <f>+IS!O62</f>
        <v>36839</v>
      </c>
      <c r="P61" s="182">
        <f>+IS!P62</f>
        <v>37080</v>
      </c>
      <c r="Q61" s="182">
        <f>+IS!Q62</f>
        <v>37630</v>
      </c>
      <c r="R61" s="182">
        <f>+IS!R62</f>
        <v>37157.75</v>
      </c>
      <c r="S61" s="182">
        <f>+IS!S62</f>
        <v>38235</v>
      </c>
      <c r="T61" s="182">
        <f>+IS!T62</f>
        <v>38475</v>
      </c>
      <c r="U61" s="182">
        <f>+IS!U62</f>
        <v>37938</v>
      </c>
      <c r="V61" s="182">
        <f>+IS!V62</f>
        <v>38146</v>
      </c>
      <c r="W61" s="182">
        <f>+IS!W62</f>
        <v>38198.5</v>
      </c>
      <c r="X61" s="182">
        <f>+IS!X62</f>
        <v>37838</v>
      </c>
      <c r="Y61" s="182">
        <f>+IS!Y62</f>
        <v>38143</v>
      </c>
      <c r="Z61" s="182">
        <f>+IS!Z62</f>
        <v>38712</v>
      </c>
      <c r="AA61" s="182">
        <f>+IS!AA62</f>
        <v>39002</v>
      </c>
      <c r="AB61" s="182">
        <f>+IS!AB62</f>
        <v>38423.75</v>
      </c>
      <c r="AC61" s="182">
        <f>+IS!AC62</f>
        <v>38845</v>
      </c>
      <c r="AD61" s="182">
        <f>+IS!AD62</f>
        <v>39535</v>
      </c>
      <c r="AE61" s="182">
        <f>+IS!AE62</f>
        <v>40299</v>
      </c>
      <c r="AF61" s="182">
        <f>+IS!AF62</f>
        <v>41186</v>
      </c>
      <c r="AG61" s="182">
        <f>+IS!AG62</f>
        <v>39966.25</v>
      </c>
      <c r="AH61" s="182">
        <f>+IS!AH62</f>
        <v>41934</v>
      </c>
      <c r="AI61" s="182">
        <f>+IS!AI62</f>
        <v>42215</v>
      </c>
      <c r="AJ61" s="182">
        <f>+IS!AJ62</f>
        <v>42197</v>
      </c>
      <c r="AK61" s="182">
        <f>+IS!AK62</f>
        <v>41580</v>
      </c>
      <c r="AL61" s="182">
        <f>+IS!AL62</f>
        <v>41981.5</v>
      </c>
      <c r="AM61" s="182">
        <f>+IS!AM62</f>
        <v>41546</v>
      </c>
      <c r="AN61" s="182">
        <f>+IS!AN62</f>
        <v>41530</v>
      </c>
      <c r="AO61" s="182">
        <f>+IS!AO62</f>
        <v>41162</v>
      </c>
      <c r="AP61" s="182">
        <f>+IS!AP62</f>
        <v>40921</v>
      </c>
      <c r="AQ61" s="182">
        <f>+IS!AQ62</f>
        <v>41345</v>
      </c>
      <c r="AR61" s="182">
        <f>+IS!AR62</f>
        <v>40846</v>
      </c>
      <c r="AS61" s="182">
        <f>+IS!AS62</f>
        <v>40919</v>
      </c>
      <c r="AT61" s="182">
        <f>+IS!AT62</f>
        <v>40764</v>
      </c>
      <c r="AU61" s="182">
        <f>+IS!AU62</f>
        <v>40440</v>
      </c>
      <c r="AV61" s="182">
        <f>+IS!AV62</f>
        <v>40823</v>
      </c>
      <c r="AW61" s="182">
        <f>+IS!AW62</f>
        <v>40430</v>
      </c>
      <c r="AX61" s="182">
        <f>+IS!AX62</f>
        <v>40077</v>
      </c>
      <c r="AY61" s="182">
        <f>+IS!AY62</f>
        <v>39938</v>
      </c>
      <c r="AZ61" s="182">
        <f>+IS!AZ62</f>
        <v>40031</v>
      </c>
      <c r="BA61" s="182">
        <f>+IS!BA62</f>
        <v>40119</v>
      </c>
      <c r="BB61" s="182">
        <f>+IS!BB62</f>
        <v>40001</v>
      </c>
      <c r="BC61" s="182">
        <f>+IS!BC62</f>
        <v>39689</v>
      </c>
      <c r="BD61" s="182">
        <f>+IS!BD62</f>
        <v>39220</v>
      </c>
      <c r="BE61" s="182">
        <f>+IS!BE62</f>
        <v>38480</v>
      </c>
      <c r="BF61" s="182">
        <f>+IS!BF62</f>
        <v>39347.5</v>
      </c>
      <c r="BG61" s="182">
        <f>+IS!BG62</f>
        <v>37669</v>
      </c>
      <c r="BH61" s="182">
        <f>+IS!BH62</f>
        <v>37435</v>
      </c>
      <c r="BI61" s="182">
        <f>+IS!BI62</f>
        <v>37448</v>
      </c>
      <c r="BJ61" s="182">
        <f>+IS!BJ62</f>
        <v>37748</v>
      </c>
      <c r="BK61" s="182">
        <f>+IS!BK62</f>
        <v>37575</v>
      </c>
      <c r="BL61" s="182">
        <f>+IS!BL62</f>
        <v>37723</v>
      </c>
      <c r="BM61" s="182">
        <f>+IS!BM62</f>
        <v>37464</v>
      </c>
      <c r="BN61" s="182">
        <f>+IS!BN62</f>
        <v>37136</v>
      </c>
      <c r="BO61" s="182">
        <f>+IS!BO62</f>
        <v>37000</v>
      </c>
      <c r="BP61" s="182">
        <f>+IS!BP62</f>
        <v>37330.75</v>
      </c>
      <c r="BQ61" s="182">
        <f>+IS!BQ62</f>
        <v>36784</v>
      </c>
      <c r="BR61" s="182">
        <f>+IS!BR62</f>
        <v>36519</v>
      </c>
      <c r="BS61" s="182">
        <f>+IS!BS62</f>
        <v>36293</v>
      </c>
      <c r="BT61" s="182">
        <f>+IS!BT62</f>
        <v>36140</v>
      </c>
      <c r="BU61" s="182">
        <f>+IS!BU62</f>
        <v>36434</v>
      </c>
      <c r="BV61" s="182">
        <f>+IS!BV62</f>
        <v>35995.440000000002</v>
      </c>
      <c r="BW61" s="182">
        <f>+IS!BW62</f>
        <v>35635.4856</v>
      </c>
      <c r="BX61" s="182">
        <f>+IS!BX62</f>
        <v>35172.224287199999</v>
      </c>
      <c r="BY61" s="182">
        <f>+IS!BY62</f>
        <v>34820.502044328001</v>
      </c>
      <c r="BZ61" s="182">
        <f>+IS!BZ62</f>
        <v>35405.912982882001</v>
      </c>
      <c r="CA61" s="182">
        <f>+IS!CA62</f>
        <v>34646.399534106364</v>
      </c>
      <c r="CB61" s="182">
        <f>+IS!CB62</f>
        <v>34681.045933640467</v>
      </c>
      <c r="CC61" s="182">
        <f>+IS!CC62</f>
        <v>34715.726979574101</v>
      </c>
      <c r="CD61" s="182">
        <f>+IS!CD62</f>
        <v>34750.442706553673</v>
      </c>
      <c r="CE61" s="182">
        <f>+IS!CE62</f>
        <v>34698.403788468655</v>
      </c>
    </row>
    <row r="62" spans="2:83" ht="13.35" customHeight="1">
      <c r="B62" s="166"/>
      <c r="C62" s="183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2"/>
      <c r="AU62" s="182"/>
      <c r="AV62" s="182"/>
      <c r="AW62" s="182"/>
      <c r="AX62" s="182"/>
      <c r="AY62" s="182"/>
      <c r="AZ62" s="182"/>
      <c r="BA62" s="182"/>
      <c r="BB62" s="182"/>
      <c r="BC62" s="182"/>
      <c r="BD62" s="182"/>
      <c r="BE62" s="182"/>
      <c r="BF62" s="182"/>
      <c r="BG62" s="182"/>
      <c r="BH62" s="182"/>
      <c r="BI62" s="182"/>
      <c r="BJ62" s="182"/>
      <c r="BK62" s="182"/>
    </row>
    <row r="63" spans="2:83" ht="13.35" customHeight="1">
      <c r="B63" s="166" t="s">
        <v>270</v>
      </c>
      <c r="C63" s="183"/>
      <c r="D63" s="182"/>
      <c r="E63" s="182"/>
      <c r="F63" s="182"/>
      <c r="G63" s="182"/>
      <c r="H63" s="179">
        <f>+CF!H27</f>
        <v>21952</v>
      </c>
      <c r="I63" s="182"/>
      <c r="J63" s="182"/>
      <c r="K63" s="182"/>
      <c r="L63" s="182"/>
      <c r="M63" s="179">
        <f>+CF!M27</f>
        <v>25146</v>
      </c>
      <c r="N63" s="182">
        <f>+CF!N27</f>
        <v>15075</v>
      </c>
      <c r="O63" s="182">
        <f>+CF!O27</f>
        <v>100</v>
      </c>
      <c r="P63" s="182">
        <f>+CF!P27</f>
        <v>9910</v>
      </c>
      <c r="Q63" s="182">
        <f>+CF!Q27</f>
        <v>16338</v>
      </c>
      <c r="R63" s="179">
        <f>+CF!R27</f>
        <v>41423</v>
      </c>
      <c r="S63" s="182">
        <f>+CF!S27</f>
        <v>10026</v>
      </c>
      <c r="T63" s="182">
        <f>+CF!T27</f>
        <v>15524</v>
      </c>
      <c r="U63" s="182">
        <f>+CF!U27</f>
        <v>16118</v>
      </c>
      <c r="V63" s="182">
        <f>+CF!V27</f>
        <v>24292</v>
      </c>
      <c r="W63" s="179">
        <f>+CF!W27</f>
        <v>65960</v>
      </c>
      <c r="X63" s="182">
        <f>+CF!X27</f>
        <v>17138</v>
      </c>
      <c r="Y63" s="182">
        <f>+CF!Y27</f>
        <v>17323</v>
      </c>
      <c r="Z63" s="182">
        <f>+CF!Z27</f>
        <v>20243</v>
      </c>
      <c r="AA63" s="182">
        <f>+CF!AA27</f>
        <v>13406</v>
      </c>
      <c r="AB63" s="179">
        <f>+CF!AB27</f>
        <v>68110</v>
      </c>
      <c r="AC63" s="182">
        <f>+CF!AC27</f>
        <v>32425</v>
      </c>
      <c r="AD63" s="182">
        <f>+CF!AD27</f>
        <v>16517</v>
      </c>
      <c r="AE63" s="182">
        <f>+CF!AE27</f>
        <v>32837</v>
      </c>
      <c r="AF63" s="182">
        <f>+CF!AF27</f>
        <v>25867</v>
      </c>
      <c r="AG63" s="179">
        <f>+CF!AG27</f>
        <v>107646</v>
      </c>
      <c r="AH63" s="182">
        <f>+CF!AH27</f>
        <v>42989</v>
      </c>
      <c r="AI63" s="182">
        <f>+CF!AI27</f>
        <v>24238</v>
      </c>
      <c r="AJ63" s="182">
        <f>+CF!AJ27</f>
        <v>31593</v>
      </c>
      <c r="AK63" s="182">
        <f>+CF!AK27</f>
        <v>28982</v>
      </c>
      <c r="AL63" s="179">
        <f>+CF!AL27</f>
        <v>127802</v>
      </c>
      <c r="AM63" s="182">
        <f>+CF!AM27</f>
        <v>44347</v>
      </c>
      <c r="AN63" s="182">
        <f>+CF!AN27</f>
        <v>36928</v>
      </c>
      <c r="AO63" s="182">
        <f>+CF!AO27</f>
        <v>45674</v>
      </c>
      <c r="AP63" s="182">
        <f>+CF!AP27</f>
        <v>33658</v>
      </c>
      <c r="AQ63" s="179">
        <f>+CF!AQ27</f>
        <v>160607</v>
      </c>
      <c r="AR63" s="182">
        <f>+CF!AR27</f>
        <v>52435</v>
      </c>
      <c r="AS63" s="182">
        <f>+CF!AS27</f>
        <v>29214</v>
      </c>
      <c r="AT63" s="182">
        <f>+CF!AT27</f>
        <v>59648</v>
      </c>
      <c r="AU63" s="182">
        <f>+CF!AU27</f>
        <v>38789</v>
      </c>
      <c r="AV63" s="179">
        <f>+CF!AV27</f>
        <v>180086</v>
      </c>
      <c r="AW63" s="182">
        <f>+CF!AW27</f>
        <v>57854</v>
      </c>
      <c r="AX63" s="182">
        <f>+CF!AX27</f>
        <v>54386</v>
      </c>
      <c r="AY63" s="182">
        <f>+CF!AY27</f>
        <v>48501</v>
      </c>
      <c r="AZ63" s="182">
        <f>+CF!AZ27</f>
        <v>39875</v>
      </c>
      <c r="BA63" s="179">
        <f>+CF!BA27</f>
        <v>200616</v>
      </c>
      <c r="BB63" s="182">
        <f>+CF!BB27</f>
        <v>79040</v>
      </c>
      <c r="BC63" s="182">
        <f>+CF!BC27</f>
        <v>33811</v>
      </c>
      <c r="BD63" s="182">
        <f>+CF!BD27</f>
        <v>42159</v>
      </c>
      <c r="BE63" s="182">
        <f>+CF!BE27</f>
        <v>43844</v>
      </c>
      <c r="BF63" s="179">
        <f>+CF!BF27</f>
        <v>198854</v>
      </c>
      <c r="BG63" s="182">
        <f>+CF!BG27</f>
        <v>66813</v>
      </c>
      <c r="BH63" s="182">
        <f>+CF!BH27</f>
        <v>51515</v>
      </c>
      <c r="BI63" s="182">
        <f>+CF!BI27</f>
        <v>92438</v>
      </c>
      <c r="BJ63" s="182">
        <f>+CF!BJ27</f>
        <v>33839</v>
      </c>
      <c r="BK63" s="179">
        <f>+CF!BK27</f>
        <v>244605</v>
      </c>
      <c r="BL63" s="182">
        <f>+CF!BL27</f>
        <v>85505</v>
      </c>
      <c r="BM63" s="182">
        <f>+CF!BM27</f>
        <v>49824</v>
      </c>
      <c r="BN63" s="182">
        <f>+CF!BN27</f>
        <v>61043</v>
      </c>
      <c r="BO63" s="182">
        <f>+CF!BO27</f>
        <v>47722</v>
      </c>
      <c r="BP63" s="179">
        <f>+CF!BP27</f>
        <v>244094</v>
      </c>
      <c r="BQ63" s="182">
        <f>+CF!BQ27</f>
        <v>109588</v>
      </c>
      <c r="BR63" s="182">
        <f>+CF!BR27</f>
        <v>33771</v>
      </c>
      <c r="BS63" s="182">
        <f>+CF!BS27</f>
        <v>90382</v>
      </c>
      <c r="BT63" s="182">
        <f>+CF!BT27</f>
        <v>75659</v>
      </c>
      <c r="BU63" s="179">
        <f>+CF!BU27</f>
        <v>309400</v>
      </c>
      <c r="BV63" s="182">
        <f>+CF!BV27</f>
        <v>110180.35937983336</v>
      </c>
      <c r="BW63" s="182">
        <f>+CF!BW27</f>
        <v>43924.930507416721</v>
      </c>
      <c r="BX63" s="182">
        <f>+CF!BX27</f>
        <v>89352.00063421941</v>
      </c>
      <c r="BY63" s="182">
        <f>+CF!BY27</f>
        <v>64348.359254537696</v>
      </c>
      <c r="BZ63" s="179">
        <f>+CF!BZ27</f>
        <v>307805.64977600728</v>
      </c>
      <c r="CA63" s="182">
        <f>+CF!CA27</f>
        <v>119556.68542492829</v>
      </c>
      <c r="CB63" s="182">
        <f>+CF!CB27</f>
        <v>34765.024182888264</v>
      </c>
      <c r="CC63" s="182">
        <f>+CF!CC27</f>
        <v>109997.21478251538</v>
      </c>
      <c r="CD63" s="182">
        <f>+CF!CD27</f>
        <v>68547.591994155446</v>
      </c>
      <c r="CE63" s="179">
        <f>+CF!CE27</f>
        <v>332866.51638448733</v>
      </c>
    </row>
    <row r="64" spans="2:83" s="362" customFormat="1" ht="13.35" hidden="1" customHeight="1" outlineLevel="1">
      <c r="B64" s="358"/>
      <c r="C64" s="398"/>
      <c r="D64" s="399"/>
      <c r="E64" s="399"/>
      <c r="F64" s="399"/>
      <c r="G64" s="399"/>
      <c r="H64" s="400"/>
      <c r="I64" s="399"/>
      <c r="J64" s="399"/>
      <c r="K64" s="399"/>
      <c r="L64" s="399"/>
      <c r="M64" s="400"/>
      <c r="N64" s="399"/>
      <c r="O64" s="399"/>
      <c r="P64" s="399"/>
      <c r="Q64" s="399"/>
      <c r="R64" s="400"/>
      <c r="S64" s="399"/>
      <c r="T64" s="399"/>
      <c r="U64" s="399"/>
      <c r="V64" s="399"/>
      <c r="W64" s="400"/>
      <c r="X64" s="399"/>
      <c r="Y64" s="399"/>
      <c r="Z64" s="399"/>
      <c r="AA64" s="399"/>
      <c r="AB64" s="400"/>
      <c r="AC64" s="399"/>
      <c r="AD64" s="399"/>
      <c r="AE64" s="399"/>
      <c r="AF64" s="399"/>
      <c r="AG64" s="400"/>
      <c r="AH64" s="399"/>
      <c r="AI64" s="399"/>
      <c r="AJ64" s="399" t="e">
        <f>+CF!#REF!</f>
        <v>#REF!</v>
      </c>
      <c r="AK64" s="399" t="e">
        <f>+CF!#REF!</f>
        <v>#REF!</v>
      </c>
      <c r="AL64" s="400" t="e">
        <f>+CF!#REF!</f>
        <v>#REF!</v>
      </c>
      <c r="AM64" s="399" t="e">
        <f>+CF!#REF!</f>
        <v>#REF!</v>
      </c>
      <c r="AN64" s="399" t="e">
        <f>+CF!#REF!</f>
        <v>#REF!</v>
      </c>
      <c r="AO64" s="399" t="e">
        <f>+CF!#REF!</f>
        <v>#REF!</v>
      </c>
      <c r="AP64" s="399" t="e">
        <f>+CF!#REF!</f>
        <v>#REF!</v>
      </c>
      <c r="AQ64" s="400" t="e">
        <f>+CF!#REF!</f>
        <v>#REF!</v>
      </c>
      <c r="AR64" s="399"/>
      <c r="AS64" s="399"/>
      <c r="AT64" s="399"/>
      <c r="AU64" s="399"/>
      <c r="AV64" s="400" t="e">
        <f>+CF!#REF!</f>
        <v>#REF!</v>
      </c>
      <c r="AW64" s="399"/>
      <c r="AX64" s="399"/>
      <c r="AY64" s="399"/>
      <c r="AZ64" s="399"/>
      <c r="BA64" s="400" t="e">
        <f>+CF!#REF!</f>
        <v>#REF!</v>
      </c>
      <c r="BB64" s="399"/>
      <c r="BC64" s="399"/>
      <c r="BD64" s="399"/>
      <c r="BE64" s="399"/>
      <c r="BF64" s="400" t="e">
        <f>+CF!#REF!</f>
        <v>#REF!</v>
      </c>
      <c r="BG64" s="399"/>
      <c r="BH64" s="399"/>
      <c r="BI64" s="399"/>
      <c r="BJ64" s="399"/>
      <c r="BK64" s="400" t="e">
        <f>+CF!#REF!</f>
        <v>#REF!</v>
      </c>
      <c r="BL64" s="399"/>
      <c r="BM64" s="399"/>
      <c r="BN64" s="399"/>
      <c r="BO64" s="399"/>
      <c r="BP64" s="400" t="e">
        <f>+CF!#REF!</f>
        <v>#REF!</v>
      </c>
      <c r="BQ64" s="399"/>
      <c r="BR64" s="399"/>
      <c r="BS64" s="399"/>
      <c r="BT64" s="399"/>
      <c r="BU64" s="400" t="e">
        <f>+CF!#REF!</f>
        <v>#REF!</v>
      </c>
      <c r="BV64" s="399"/>
      <c r="BW64" s="399"/>
      <c r="BX64" s="399"/>
      <c r="BY64" s="399"/>
      <c r="BZ64" s="400" t="e">
        <f>+CF!#REF!</f>
        <v>#REF!</v>
      </c>
      <c r="CA64" s="399"/>
      <c r="CB64" s="399"/>
      <c r="CC64" s="399"/>
      <c r="CD64" s="399"/>
      <c r="CE64" s="400" t="e">
        <f>+CF!#REF!</f>
        <v>#REF!</v>
      </c>
    </row>
    <row r="65" spans="2:83" ht="13.35" customHeight="1" collapsed="1">
      <c r="B65" s="166" t="s">
        <v>224</v>
      </c>
      <c r="C65" s="183"/>
      <c r="D65" s="182"/>
      <c r="E65" s="182"/>
      <c r="F65" s="182"/>
      <c r="G65" s="182"/>
      <c r="H65" s="179">
        <f>+CF!H68</f>
        <v>8363</v>
      </c>
      <c r="I65" s="182"/>
      <c r="J65" s="182"/>
      <c r="K65" s="182"/>
      <c r="L65" s="182"/>
      <c r="M65" s="179">
        <f>+CF!M68</f>
        <v>10297</v>
      </c>
      <c r="N65" s="182">
        <f>+CF!N68</f>
        <v>11030</v>
      </c>
      <c r="O65" s="182">
        <f>+CF!O68</f>
        <v>-2886</v>
      </c>
      <c r="P65" s="182">
        <f>+CF!P68</f>
        <v>5884</v>
      </c>
      <c r="Q65" s="182">
        <f>+CF!Q68</f>
        <v>12676</v>
      </c>
      <c r="R65" s="179">
        <f>+CF!R68</f>
        <v>26704</v>
      </c>
      <c r="S65" s="182">
        <f>+CF!S68</f>
        <v>3878</v>
      </c>
      <c r="T65" s="182">
        <f>+CF!T68</f>
        <v>11265</v>
      </c>
      <c r="U65" s="182">
        <f>+CF!U68</f>
        <v>11660</v>
      </c>
      <c r="V65" s="182">
        <f>+CF!V68</f>
        <v>19106</v>
      </c>
      <c r="W65" s="179">
        <f>+CF!W68</f>
        <v>45909</v>
      </c>
      <c r="X65" s="182">
        <f>+CF!X68</f>
        <v>12957</v>
      </c>
      <c r="Y65" s="182">
        <f>+CF!Y68</f>
        <v>12538</v>
      </c>
      <c r="Z65" s="182">
        <f>+CF!Z68</f>
        <v>10400</v>
      </c>
      <c r="AA65" s="182">
        <f>+CF!AA68</f>
        <v>8970</v>
      </c>
      <c r="AB65" s="179">
        <f>+CF!AB68</f>
        <v>44865</v>
      </c>
      <c r="AC65" s="182">
        <f>+CF!AC68</f>
        <v>27882</v>
      </c>
      <c r="AD65" s="182">
        <f>+CF!AD68</f>
        <v>7881</v>
      </c>
      <c r="AE65" s="182">
        <f>+CF!AE68</f>
        <v>19404</v>
      </c>
      <c r="AF65" s="182">
        <f>+CF!AF68</f>
        <v>14661</v>
      </c>
      <c r="AG65" s="179">
        <f>+CF!AG68</f>
        <v>69828</v>
      </c>
      <c r="AH65" s="182">
        <f>+CF!AH68</f>
        <v>36257</v>
      </c>
      <c r="AI65" s="182">
        <f>+CF!AI68</f>
        <v>16936</v>
      </c>
      <c r="AJ65" s="182">
        <f>+CF!AJ68</f>
        <v>24928</v>
      </c>
      <c r="AK65" s="182">
        <f>+CF!AK68</f>
        <v>22952</v>
      </c>
      <c r="AL65" s="179">
        <f>+CF!AL68</f>
        <v>101073</v>
      </c>
      <c r="AM65" s="182">
        <f>+CF!AM68</f>
        <v>35320</v>
      </c>
      <c r="AN65" s="182">
        <f>+CF!AN68</f>
        <v>30981</v>
      </c>
      <c r="AO65" s="182">
        <f>+CF!AO68</f>
        <v>39902</v>
      </c>
      <c r="AP65" s="182">
        <f>+CF!AP68</f>
        <v>25122</v>
      </c>
      <c r="AQ65" s="179">
        <f>+CF!AQ68</f>
        <v>131325</v>
      </c>
      <c r="AR65" s="182">
        <f>+CF!AR68</f>
        <v>45134</v>
      </c>
      <c r="AS65" s="182">
        <f>+CF!AS68</f>
        <v>24886</v>
      </c>
      <c r="AT65" s="182">
        <f>+CF!AT68</f>
        <v>48443</v>
      </c>
      <c r="AU65" s="182">
        <f>+CF!AU68</f>
        <v>31472</v>
      </c>
      <c r="AV65" s="179">
        <f>+CF!AV68</f>
        <v>149935</v>
      </c>
      <c r="AW65" s="182">
        <f>+CF!AW68</f>
        <v>51595</v>
      </c>
      <c r="AX65" s="182">
        <f>+CF!AX68</f>
        <v>47644</v>
      </c>
      <c r="AY65" s="182">
        <f>+CF!AY68</f>
        <v>41323</v>
      </c>
      <c r="AZ65" s="182">
        <f>+CF!AZ68</f>
        <v>35540</v>
      </c>
      <c r="BA65" s="179">
        <f>+CF!BA68</f>
        <v>176102</v>
      </c>
      <c r="BB65" s="182">
        <f>+CF!BB68</f>
        <v>71401</v>
      </c>
      <c r="BC65" s="182">
        <f>+CF!BC68</f>
        <v>30300</v>
      </c>
      <c r="BD65" s="182">
        <f>+CF!BD68</f>
        <v>40918</v>
      </c>
      <c r="BE65" s="182">
        <f>+CF!BE68</f>
        <v>40874</v>
      </c>
      <c r="BF65" s="179">
        <f>+CF!BF68</f>
        <v>183493</v>
      </c>
      <c r="BG65" s="182">
        <f>+CF!BG68</f>
        <v>62776</v>
      </c>
      <c r="BH65" s="182">
        <f>+CF!BH68</f>
        <v>50097</v>
      </c>
      <c r="BI65" s="182">
        <f>+CF!BI68</f>
        <v>90630</v>
      </c>
      <c r="BJ65" s="182">
        <f>+CF!BJ68</f>
        <v>32316</v>
      </c>
      <c r="BK65" s="179">
        <f>+CF!BK68</f>
        <v>235819</v>
      </c>
      <c r="BL65" s="182">
        <f>+CF!BL68</f>
        <v>83454</v>
      </c>
      <c r="BM65" s="182">
        <f>+CF!BM68</f>
        <v>48798</v>
      </c>
      <c r="BN65" s="182">
        <f>+CF!BN68</f>
        <v>57623</v>
      </c>
      <c r="BO65" s="182">
        <f>+CF!BO68</f>
        <v>41885</v>
      </c>
      <c r="BP65" s="179">
        <f>+CF!BP68</f>
        <v>231760</v>
      </c>
      <c r="BQ65" s="182">
        <f>+CF!BQ68</f>
        <v>107550</v>
      </c>
      <c r="BR65" s="182">
        <f>+CF!BR68</f>
        <v>32444</v>
      </c>
      <c r="BS65" s="182">
        <f>+CF!BS68</f>
        <v>89481</v>
      </c>
      <c r="BT65" s="182">
        <f>+CF!BT68</f>
        <v>74935</v>
      </c>
      <c r="BU65" s="179">
        <f>+CF!BU68</f>
        <v>304410</v>
      </c>
      <c r="BV65" s="182">
        <f>+CF!BV68</f>
        <v>108271.96481483337</v>
      </c>
      <c r="BW65" s="182">
        <f>+CF!BW68</f>
        <v>41267.12610741672</v>
      </c>
      <c r="BX65" s="182">
        <f>+CF!BX68</f>
        <v>86612.653384219404</v>
      </c>
      <c r="BY65" s="182">
        <f>+CF!BY68</f>
        <v>61535.083154537693</v>
      </c>
      <c r="BZ65" s="179">
        <f>+CF!BZ68</f>
        <v>297686.82746100728</v>
      </c>
      <c r="CA65" s="182">
        <f>+CF!CA68</f>
        <v>117682.98894292829</v>
      </c>
      <c r="CB65" s="182">
        <f>+CF!CB68</f>
        <v>32869.123710888263</v>
      </c>
      <c r="CC65" s="182">
        <f>+CF!CC68</f>
        <v>108061.40939251539</v>
      </c>
      <c r="CD65" s="182">
        <f>+CF!CD68</f>
        <v>66559.543550155446</v>
      </c>
      <c r="CE65" s="179">
        <f>+CF!CE68</f>
        <v>325173.06559648731</v>
      </c>
    </row>
    <row r="66" spans="2:83" s="362" customFormat="1" ht="13.35" hidden="1" customHeight="1" outlineLevel="1">
      <c r="B66" s="358"/>
      <c r="C66" s="398"/>
      <c r="D66" s="399"/>
      <c r="E66" s="399"/>
      <c r="F66" s="399"/>
      <c r="G66" s="399"/>
      <c r="H66" s="400"/>
      <c r="I66" s="399"/>
      <c r="J66" s="399"/>
      <c r="K66" s="399"/>
      <c r="L66" s="399"/>
      <c r="M66" s="400"/>
      <c r="N66" s="399"/>
      <c r="O66" s="399"/>
      <c r="P66" s="399"/>
      <c r="Q66" s="399"/>
      <c r="R66" s="400"/>
      <c r="S66" s="399"/>
      <c r="T66" s="399"/>
      <c r="U66" s="399"/>
      <c r="V66" s="399"/>
      <c r="W66" s="400"/>
      <c r="X66" s="399"/>
      <c r="Y66" s="399"/>
      <c r="Z66" s="399"/>
      <c r="AA66" s="399"/>
      <c r="AB66" s="400"/>
      <c r="AC66" s="399"/>
      <c r="AD66" s="399"/>
      <c r="AE66" s="399"/>
      <c r="AF66" s="399"/>
      <c r="AG66" s="400"/>
      <c r="AH66" s="399"/>
      <c r="AI66" s="399"/>
      <c r="AJ66" s="399" t="e">
        <f>+CF!#REF!</f>
        <v>#REF!</v>
      </c>
      <c r="AK66" s="399" t="e">
        <f>+CF!#REF!</f>
        <v>#REF!</v>
      </c>
      <c r="AL66" s="400" t="e">
        <f>+CF!#REF!</f>
        <v>#REF!</v>
      </c>
      <c r="AM66" s="399" t="e">
        <f>+CF!#REF!</f>
        <v>#REF!</v>
      </c>
      <c r="AN66" s="399" t="e">
        <f>+CF!#REF!</f>
        <v>#REF!</v>
      </c>
      <c r="AO66" s="399" t="e">
        <f>+CF!#REF!</f>
        <v>#REF!</v>
      </c>
      <c r="AP66" s="399" t="e">
        <f>+CF!#REF!</f>
        <v>#REF!</v>
      </c>
      <c r="AQ66" s="400" t="e">
        <f>+CF!#REF!</f>
        <v>#REF!</v>
      </c>
      <c r="AR66" s="399"/>
      <c r="AS66" s="399"/>
      <c r="AT66" s="399"/>
      <c r="AU66" s="399"/>
      <c r="AV66" s="400" t="e">
        <f>+CF!#REF!</f>
        <v>#REF!</v>
      </c>
      <c r="AW66" s="399"/>
      <c r="AX66" s="399"/>
      <c r="AY66" s="399"/>
      <c r="AZ66" s="399"/>
      <c r="BA66" s="400" t="e">
        <f>+CF!#REF!</f>
        <v>#REF!</v>
      </c>
      <c r="BB66" s="399"/>
      <c r="BC66" s="399"/>
      <c r="BD66" s="399"/>
      <c r="BE66" s="399"/>
      <c r="BF66" s="400" t="e">
        <f>+CF!#REF!</f>
        <v>#REF!</v>
      </c>
      <c r="BG66" s="399"/>
      <c r="BH66" s="399"/>
      <c r="BI66" s="399"/>
      <c r="BJ66" s="399"/>
      <c r="BK66" s="400" t="e">
        <f>+CF!#REF!</f>
        <v>#REF!</v>
      </c>
      <c r="BL66" s="399"/>
      <c r="BM66" s="399"/>
      <c r="BN66" s="399"/>
      <c r="BO66" s="399"/>
      <c r="BP66" s="400" t="e">
        <f>+CF!#REF!</f>
        <v>#REF!</v>
      </c>
      <c r="BQ66" s="399"/>
      <c r="BR66" s="399"/>
      <c r="BS66" s="399"/>
      <c r="BT66" s="399"/>
      <c r="BU66" s="400" t="e">
        <f>+CF!#REF!</f>
        <v>#REF!</v>
      </c>
      <c r="BV66" s="399"/>
      <c r="BW66" s="399"/>
      <c r="BX66" s="399"/>
      <c r="BY66" s="399"/>
      <c r="BZ66" s="400" t="e">
        <f>+CF!#REF!</f>
        <v>#REF!</v>
      </c>
      <c r="CA66" s="399"/>
      <c r="CB66" s="399"/>
      <c r="CC66" s="399"/>
      <c r="CD66" s="399"/>
      <c r="CE66" s="400" t="e">
        <f>+CF!#REF!</f>
        <v>#REF!</v>
      </c>
    </row>
    <row r="67" spans="2:83" ht="13.35" customHeight="1" collapsed="1" thickBot="1">
      <c r="B67" s="337"/>
      <c r="C67" s="183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166"/>
      <c r="AM67" s="166"/>
      <c r="AN67" s="166"/>
      <c r="AO67" s="166"/>
      <c r="AP67" s="166"/>
      <c r="AQ67" s="306"/>
      <c r="AR67" s="166"/>
      <c r="AS67" s="166"/>
      <c r="AT67" s="166"/>
      <c r="AU67" s="166"/>
      <c r="AV67" s="306"/>
      <c r="AW67" s="166"/>
      <c r="AX67" s="166"/>
      <c r="AY67" s="166"/>
      <c r="AZ67" s="166"/>
      <c r="BA67" s="306"/>
      <c r="BB67" s="166"/>
      <c r="BC67" s="166"/>
      <c r="BD67" s="166"/>
      <c r="BE67" s="166"/>
      <c r="BF67" s="306"/>
      <c r="BG67" s="166"/>
      <c r="BH67" s="166"/>
      <c r="BI67" s="166"/>
      <c r="BJ67" s="166"/>
      <c r="BK67" s="306"/>
      <c r="BL67" s="166"/>
      <c r="BM67" s="166"/>
      <c r="BN67" s="166"/>
      <c r="BO67" s="166"/>
      <c r="BP67" s="306"/>
      <c r="BQ67" s="166"/>
      <c r="BR67" s="166"/>
      <c r="BS67" s="166"/>
      <c r="BT67" s="166"/>
      <c r="BU67" s="306"/>
      <c r="BV67" s="166"/>
      <c r="BW67" s="166"/>
      <c r="BX67" s="166"/>
      <c r="BY67" s="166"/>
      <c r="BZ67" s="306"/>
      <c r="CA67" s="166"/>
      <c r="CB67" s="166"/>
      <c r="CC67" s="166"/>
      <c r="CD67" s="166"/>
      <c r="CE67" s="306"/>
    </row>
    <row r="68" spans="2:83" ht="13.35" customHeight="1">
      <c r="B68" s="319" t="s">
        <v>246</v>
      </c>
      <c r="C68" s="338"/>
      <c r="D68" s="377"/>
      <c r="E68" s="377"/>
      <c r="F68" s="377"/>
      <c r="G68" s="377"/>
      <c r="H68" s="377"/>
      <c r="I68" s="377"/>
      <c r="J68" s="377"/>
      <c r="K68" s="377"/>
      <c r="L68" s="377"/>
      <c r="M68" s="377"/>
      <c r="N68" s="377"/>
      <c r="O68" s="377"/>
      <c r="P68" s="377"/>
      <c r="Q68" s="377"/>
      <c r="R68" s="377"/>
      <c r="S68" s="377"/>
      <c r="T68" s="377"/>
      <c r="U68" s="377"/>
      <c r="V68" s="377"/>
      <c r="W68" s="377"/>
      <c r="X68" s="377"/>
      <c r="Y68" s="377"/>
      <c r="Z68" s="377"/>
      <c r="AA68" s="377"/>
      <c r="AB68" s="377"/>
      <c r="AC68" s="377"/>
      <c r="AD68" s="377"/>
      <c r="AE68" s="377"/>
      <c r="AF68" s="377"/>
      <c r="AG68" s="377"/>
      <c r="AH68" s="377"/>
      <c r="AI68" s="377"/>
      <c r="AJ68" s="377"/>
      <c r="AK68" s="377"/>
      <c r="AL68" s="377"/>
      <c r="AM68" s="377"/>
      <c r="AN68" s="377"/>
      <c r="AO68" s="377"/>
      <c r="AP68" s="377"/>
      <c r="AQ68" s="377"/>
      <c r="AR68" s="377"/>
      <c r="AS68" s="377"/>
      <c r="AT68" s="377"/>
      <c r="AU68" s="339"/>
      <c r="AV68" s="339"/>
      <c r="AW68" s="339"/>
      <c r="AX68" s="339"/>
      <c r="AY68" s="339"/>
      <c r="AZ68" s="339"/>
      <c r="BA68" s="339"/>
      <c r="BB68" s="339"/>
      <c r="BC68" s="339"/>
      <c r="BD68" s="339"/>
      <c r="BE68" s="339"/>
      <c r="BF68" s="339"/>
      <c r="BG68" s="339"/>
      <c r="BH68" s="339"/>
      <c r="BI68" s="339"/>
      <c r="BJ68" s="339"/>
      <c r="BK68" s="339"/>
      <c r="BL68" s="339"/>
      <c r="BM68" s="339"/>
      <c r="BN68" s="339"/>
      <c r="BO68" s="339"/>
      <c r="BP68" s="339"/>
      <c r="BQ68" s="339"/>
      <c r="BR68" s="339"/>
      <c r="BS68" s="339"/>
      <c r="BT68" s="339"/>
      <c r="BU68" s="339"/>
      <c r="BV68" s="339"/>
      <c r="BW68" s="339"/>
      <c r="BX68" s="339"/>
      <c r="BY68" s="339"/>
      <c r="BZ68" s="339"/>
      <c r="CA68" s="339"/>
      <c r="CB68" s="339"/>
      <c r="CC68" s="339"/>
      <c r="CD68" s="339"/>
      <c r="CE68" s="339"/>
    </row>
    <row r="69" spans="2:83" ht="13.35" customHeight="1">
      <c r="B69" s="166" t="s">
        <v>247</v>
      </c>
      <c r="C69" s="183"/>
      <c r="D69" s="344"/>
      <c r="E69" s="344"/>
      <c r="F69" s="344"/>
      <c r="G69" s="344">
        <f>+G9</f>
        <v>24545</v>
      </c>
      <c r="H69" s="344">
        <f>+H9</f>
        <v>24545</v>
      </c>
      <c r="I69" s="344"/>
      <c r="J69" s="344"/>
      <c r="K69" s="344"/>
      <c r="L69" s="344">
        <f t="shared" ref="L69:AQ69" si="222">+L9</f>
        <v>28581</v>
      </c>
      <c r="M69" s="344">
        <f t="shared" si="222"/>
        <v>28581</v>
      </c>
      <c r="N69" s="344">
        <f t="shared" si="222"/>
        <v>21887</v>
      </c>
      <c r="O69" s="344">
        <f t="shared" si="222"/>
        <v>28062</v>
      </c>
      <c r="P69" s="344">
        <f t="shared" si="222"/>
        <v>30278</v>
      </c>
      <c r="Q69" s="344">
        <f t="shared" si="222"/>
        <v>32993</v>
      </c>
      <c r="R69" s="344">
        <f t="shared" si="222"/>
        <v>32993</v>
      </c>
      <c r="S69" s="344">
        <f t="shared" si="222"/>
        <v>38732</v>
      </c>
      <c r="T69" s="344">
        <f t="shared" si="222"/>
        <v>34552</v>
      </c>
      <c r="U69" s="344">
        <f t="shared" si="222"/>
        <v>37876</v>
      </c>
      <c r="V69" s="344">
        <f t="shared" si="222"/>
        <v>42325</v>
      </c>
      <c r="W69" s="344">
        <f t="shared" si="222"/>
        <v>42325</v>
      </c>
      <c r="X69" s="344">
        <f t="shared" si="222"/>
        <v>42414</v>
      </c>
      <c r="Y69" s="344">
        <f t="shared" si="222"/>
        <v>40387</v>
      </c>
      <c r="Z69" s="344">
        <f t="shared" si="222"/>
        <v>41910</v>
      </c>
      <c r="AA69" s="344">
        <f t="shared" si="222"/>
        <v>47024</v>
      </c>
      <c r="AB69" s="344">
        <f t="shared" si="222"/>
        <v>47024</v>
      </c>
      <c r="AC69" s="344">
        <f t="shared" si="222"/>
        <v>41639</v>
      </c>
      <c r="AD69" s="344">
        <f t="shared" si="222"/>
        <v>46359</v>
      </c>
      <c r="AE69" s="344">
        <f t="shared" si="222"/>
        <v>46354</v>
      </c>
      <c r="AF69" s="344">
        <f t="shared" si="222"/>
        <v>64412</v>
      </c>
      <c r="AG69" s="344">
        <f t="shared" si="222"/>
        <v>64412</v>
      </c>
      <c r="AH69" s="344">
        <f t="shared" si="222"/>
        <v>49874</v>
      </c>
      <c r="AI69" s="344">
        <f t="shared" si="222"/>
        <v>52535</v>
      </c>
      <c r="AJ69" s="344">
        <f t="shared" si="222"/>
        <v>58612</v>
      </c>
      <c r="AK69" s="344">
        <f t="shared" si="222"/>
        <v>75825</v>
      </c>
      <c r="AL69" s="344">
        <f t="shared" si="222"/>
        <v>75825</v>
      </c>
      <c r="AM69" s="344">
        <f t="shared" si="222"/>
        <v>67863</v>
      </c>
      <c r="AN69" s="344">
        <f t="shared" si="222"/>
        <v>63184</v>
      </c>
      <c r="AO69" s="344">
        <f t="shared" si="222"/>
        <v>61314</v>
      </c>
      <c r="AP69" s="344">
        <f t="shared" si="222"/>
        <v>78034</v>
      </c>
      <c r="AQ69" s="344">
        <f t="shared" si="222"/>
        <v>78034</v>
      </c>
      <c r="AR69" s="344">
        <f t="shared" ref="AR69:BK69" si="223">+AR9</f>
        <v>72696</v>
      </c>
      <c r="AS69" s="344">
        <f t="shared" si="223"/>
        <v>75938</v>
      </c>
      <c r="AT69" s="344">
        <f t="shared" si="223"/>
        <v>64291</v>
      </c>
      <c r="AU69" s="344">
        <f t="shared" si="223"/>
        <v>100179</v>
      </c>
      <c r="AV69" s="182">
        <f t="shared" si="223"/>
        <v>100179</v>
      </c>
      <c r="AW69" s="344">
        <f t="shared" si="223"/>
        <v>85222</v>
      </c>
      <c r="AX69" s="344">
        <f t="shared" si="223"/>
        <v>86044</v>
      </c>
      <c r="AY69" s="344">
        <f t="shared" ref="AY69:AZ69" si="224">+AY9</f>
        <v>84267</v>
      </c>
      <c r="AZ69" s="344">
        <f t="shared" si="224"/>
        <v>108998</v>
      </c>
      <c r="BA69" s="182">
        <f t="shared" si="223"/>
        <v>108998</v>
      </c>
      <c r="BB69" s="344">
        <f t="shared" ref="BB69:BC69" si="225">+BB9</f>
        <v>89294</v>
      </c>
      <c r="BC69" s="344">
        <f t="shared" si="225"/>
        <v>97692</v>
      </c>
      <c r="BD69" s="344">
        <f t="shared" ref="BD69:BE69" si="226">+BD9</f>
        <v>98717</v>
      </c>
      <c r="BE69" s="344">
        <f t="shared" si="226"/>
        <v>121795</v>
      </c>
      <c r="BF69" s="182">
        <f t="shared" si="223"/>
        <v>121795</v>
      </c>
      <c r="BG69" s="344">
        <f t="shared" si="223"/>
        <v>101786</v>
      </c>
      <c r="BH69" s="344">
        <f t="shared" si="223"/>
        <v>124912</v>
      </c>
      <c r="BI69" s="182">
        <f t="shared" si="223"/>
        <v>103428</v>
      </c>
      <c r="BJ69" s="182">
        <f t="shared" si="223"/>
        <v>146226</v>
      </c>
      <c r="BK69" s="182">
        <f t="shared" si="223"/>
        <v>146226</v>
      </c>
      <c r="BL69" s="182">
        <f t="shared" ref="BL69:BP69" si="227">+BL9</f>
        <v>115629</v>
      </c>
      <c r="BM69" s="182">
        <f t="shared" si="227"/>
        <v>109584</v>
      </c>
      <c r="BN69" s="182">
        <f t="shared" ref="BN69:BO69" si="228">+BN9</f>
        <v>114967</v>
      </c>
      <c r="BO69" s="182">
        <f t="shared" si="228"/>
        <v>164551</v>
      </c>
      <c r="BP69" s="182">
        <f t="shared" si="227"/>
        <v>164551</v>
      </c>
      <c r="BQ69" s="182">
        <f t="shared" ref="BQ69:BS69" si="229">+BQ9</f>
        <v>121563</v>
      </c>
      <c r="BR69" s="182">
        <f t="shared" si="229"/>
        <v>128675</v>
      </c>
      <c r="BS69" s="182">
        <f t="shared" si="229"/>
        <v>128418</v>
      </c>
      <c r="BT69" s="182">
        <f t="shared" ref="BT69:BU69" si="230">+BT9</f>
        <v>170991</v>
      </c>
      <c r="BU69" s="182">
        <f t="shared" si="230"/>
        <v>170991</v>
      </c>
      <c r="BV69" s="182">
        <f t="shared" ref="BV69:BZ69" si="231">+BV9</f>
        <v>131081.64688888891</v>
      </c>
      <c r="BW69" s="182">
        <f t="shared" si="231"/>
        <v>141749.568</v>
      </c>
      <c r="BX69" s="182">
        <f t="shared" si="231"/>
        <v>131894.49722222221</v>
      </c>
      <c r="BY69" s="182">
        <f t="shared" si="231"/>
        <v>191719.55644444446</v>
      </c>
      <c r="BZ69" s="182">
        <f t="shared" si="231"/>
        <v>191719.55644444446</v>
      </c>
      <c r="CA69" s="182">
        <f t="shared" ref="CA69:CE69" si="232">+CA9</f>
        <v>143650.06362000003</v>
      </c>
      <c r="CB69" s="182">
        <f t="shared" si="232"/>
        <v>149565.48168000003</v>
      </c>
      <c r="CC69" s="182">
        <f t="shared" si="232"/>
        <v>141959.06193333332</v>
      </c>
      <c r="CD69" s="182">
        <f t="shared" si="232"/>
        <v>198804.84440000003</v>
      </c>
      <c r="CE69" s="182">
        <f t="shared" si="232"/>
        <v>198804.84440000003</v>
      </c>
    </row>
    <row r="70" spans="2:83" ht="12.75" hidden="1" customHeight="1" outlineLevel="1">
      <c r="B70" s="175"/>
      <c r="C70" s="182"/>
      <c r="D70" s="344"/>
      <c r="E70" s="344"/>
      <c r="F70" s="344"/>
      <c r="G70" s="344"/>
      <c r="H70" s="344"/>
      <c r="I70" s="344"/>
      <c r="J70" s="344"/>
      <c r="K70" s="344"/>
      <c r="L70" s="344"/>
      <c r="M70" s="344"/>
      <c r="N70" s="344"/>
      <c r="O70" s="344"/>
      <c r="P70" s="344"/>
      <c r="Q70" s="344"/>
      <c r="R70" s="344"/>
      <c r="S70" s="344"/>
      <c r="T70" s="344"/>
      <c r="U70" s="344"/>
      <c r="V70" s="344"/>
      <c r="W70" s="344"/>
      <c r="X70" s="344"/>
      <c r="Y70" s="344"/>
      <c r="Z70" s="344"/>
      <c r="AA70" s="344"/>
      <c r="AB70" s="344"/>
      <c r="AC70" s="344"/>
      <c r="AD70" s="344"/>
      <c r="AE70" s="344"/>
      <c r="AF70" s="344"/>
      <c r="AG70" s="344"/>
      <c r="AH70" s="344"/>
      <c r="AI70" s="344"/>
      <c r="AJ70" s="344"/>
      <c r="AK70" s="344"/>
      <c r="AL70" s="344"/>
      <c r="AM70" s="344"/>
      <c r="AN70" s="344"/>
      <c r="AO70" s="344"/>
      <c r="AP70" s="344"/>
      <c r="AQ70" s="344"/>
      <c r="AR70" s="344"/>
      <c r="AS70" s="344"/>
      <c r="AT70" s="344"/>
      <c r="AU70" s="344"/>
      <c r="AV70" s="179" t="e">
        <f ca="1">_xll.FDS(+IS!$B$1,"FE_ESTIMATE(RECEIV_NET,MEAN,ANNUAL,"&amp;IS!AV$74&amp;",NOW,,,'')")*1000</f>
        <v>#NAME?</v>
      </c>
      <c r="AW70" s="344"/>
      <c r="AX70" s="344"/>
      <c r="AY70" s="344"/>
      <c r="AZ70" s="344"/>
      <c r="BA70" s="179" t="e">
        <f ca="1">_xll.FDS(+IS!$B$1,"FE_ESTIMATE(RECEIV_NET,MEAN,ANNUAL,"&amp;IS!BA$74&amp;",NOW,,,'')")*1000</f>
        <v>#NAME?</v>
      </c>
      <c r="BB70" s="344"/>
      <c r="BC70" s="344"/>
      <c r="BD70" s="344"/>
      <c r="BE70" s="344"/>
      <c r="BF70" s="179" t="e">
        <f ca="1">_xll.FDS(+IS!$B$1,"FE_ESTIMATE(RECEIV_NET,MEAN,ANNUAL,"&amp;IS!BF$74&amp;",NOW,,,'')")*1000</f>
        <v>#NAME?</v>
      </c>
      <c r="BG70" s="344"/>
      <c r="BH70" s="344"/>
      <c r="BI70" s="179" t="e">
        <f ca="1">_xll.FDS(+IS!$B$1,"FE_ESTIMATE(RECEIV_NET,MEAN,QUARTERLY,"&amp;IS!BI$74&amp;",NOW,,,'')")*1000</f>
        <v>#NAME?</v>
      </c>
      <c r="BJ70" s="179" t="e">
        <f ca="1">_xll.FDS(+IS!$B$1,"FE_ESTIMATE(RECEIV_NET,MEAN,QUARTERLY,"&amp;IS!BJ$74&amp;",NOW,,,'')")*1000</f>
        <v>#NAME?</v>
      </c>
      <c r="BK70" s="179" t="e">
        <f ca="1">_xll.FDS(+IS!$B$1,"FE_ESTIMATE(RECEIV_NET,MEAN,ANNUAL,"&amp;IS!BK$74&amp;",NOW,,,'')")*1000</f>
        <v>#NAME?</v>
      </c>
      <c r="BL70" s="179" t="e">
        <f ca="1">_xll.FDS(+IS!$B$1,"FE_ESTIMATE(RECEIV_NET,MEAN,QUARTERLY,"&amp;IS!BL$74&amp;",NOW,,,'')")*1000</f>
        <v>#NAME?</v>
      </c>
      <c r="BM70" s="179" t="e">
        <f ca="1">_xll.FDS(+IS!$B$1,"FE_ESTIMATE(RECEIV_NET,MEAN,QUARTERLY,"&amp;IS!BM$74&amp;",NOW,,,'')")*1000</f>
        <v>#NAME?</v>
      </c>
      <c r="BN70" s="179" t="e">
        <f ca="1">_xll.FDS(+IS!$B$1,"FE_ESTIMATE(RECEIV_NET,MEAN,QUARTERLY,"&amp;IS!BN$74&amp;",NOW,,,'')")*1000</f>
        <v>#NAME?</v>
      </c>
      <c r="BO70" s="179" t="e">
        <f ca="1">_xll.FDS(+IS!$B$1,"FE_ESTIMATE(RECEIV_NET,MEAN,QUARTERLY,"&amp;IS!BO$74&amp;",NOW,,,'')")*1000</f>
        <v>#NAME?</v>
      </c>
      <c r="BP70" s="179" t="e">
        <f ca="1">_xll.FDS(+IS!$B$1,"FE_ESTIMATE(RECEIV_NET,MEAN,ANNUAL,"&amp;IS!BP$74&amp;",NOW,,,'')")*1000</f>
        <v>#NAME?</v>
      </c>
      <c r="BQ70" s="179" t="e">
        <f ca="1">_xll.FDS(+IS!$B$1,"FE_ESTIMATE(RECEIV_NET,MEAN,QUARTERLY,"&amp;IS!BQ$74&amp;",NOW,,,'')")*1000</f>
        <v>#NAME?</v>
      </c>
      <c r="BR70" s="179" t="e">
        <f ca="1">_xll.FDS(+IS!$B$1,"FE_ESTIMATE(RECEIV_NET,MEAN,QUARTERLY,"&amp;IS!BR$74&amp;",NOW,,,'')")*1000</f>
        <v>#NAME?</v>
      </c>
      <c r="BS70" s="179" t="e">
        <f ca="1">_xll.FDS(+IS!$B$1,"FE_ESTIMATE(RECEIV_NET,MEAN,QUARTERLY,"&amp;IS!BS$74&amp;",NOW,,,'')")*1000</f>
        <v>#NAME?</v>
      </c>
      <c r="BT70" s="179" t="e">
        <f ca="1">_xll.FDS(+IS!$B$1,"FE_ESTIMATE(RECEIV_NET,MEAN,QUARTERLY,"&amp;IS!BT$74&amp;",NOW,,,'')")*1000</f>
        <v>#NAME?</v>
      </c>
      <c r="BU70" s="179" t="e">
        <f ca="1">_xll.FDS(+IS!$B$1,"FE_ESTIMATE(RECEIV_NET,MEAN,ANNUAL,"&amp;IS!BU$74&amp;",NOW,,,'')")*1000</f>
        <v>#NAME?</v>
      </c>
      <c r="BV70" s="179" t="e">
        <f ca="1">_xll.FDS(+IS!$B$1,"FE_ESTIMATE(RECEIV_NET,MEAN,QUARTERLY,"&amp;IS!BV$74&amp;",NOW,,,'')")*1000</f>
        <v>#NAME?</v>
      </c>
      <c r="BW70" s="179" t="e">
        <f ca="1">_xll.FDS(+IS!$B$1,"FE_ESTIMATE(RECEIV_NET,MEAN,QUARTERLY,"&amp;IS!BW$74&amp;",NOW,,,'')")*1000</f>
        <v>#NAME?</v>
      </c>
      <c r="BX70" s="179" t="e">
        <f ca="1">_xll.FDS(+IS!$B$1,"FE_ESTIMATE(RECEIV_NET,MEAN,QUARTERLY,"&amp;IS!BX$74&amp;",NOW,,,'')")*1000</f>
        <v>#NAME?</v>
      </c>
      <c r="BY70" s="179" t="e">
        <f ca="1">_xll.FDS(+IS!$B$1,"FE_ESTIMATE(RECEIV_NET,MEAN,QUARTERLY,"&amp;IS!BY$74&amp;",NOW,,,'')")*1000</f>
        <v>#NAME?</v>
      </c>
      <c r="BZ70" s="179" t="e">
        <f ca="1">_xll.FDS(+IS!$B$1,"FE_ESTIMATE(RECEIV_NET,MEAN,ANNUAL,"&amp;IS!BZ$74&amp;",NOW,,,'')")*1000</f>
        <v>#NAME?</v>
      </c>
      <c r="CA70" s="179" t="e">
        <f ca="1">_xll.FDS(+IS!$B$1,"FE_ESTIMATE(RECEIV_NET,MEAN,QUARTERLY,"&amp;IS!CA$74&amp;",NOW,,,'')")*1000</f>
        <v>#NAME?</v>
      </c>
      <c r="CB70" s="179" t="e">
        <f ca="1">_xll.FDS(+IS!$B$1,"FE_ESTIMATE(RECEIV_NET,MEAN,QUARTERLY,"&amp;IS!CB$74&amp;",NOW,,,'')")*1000</f>
        <v>#NAME?</v>
      </c>
      <c r="CC70" s="179" t="e">
        <f ca="1">_xll.FDS(+IS!$B$1,"FE_ESTIMATE(RECEIV_NET,MEAN,QUARTERLY,"&amp;IS!CC$74&amp;",NOW,,,'')")*1000</f>
        <v>#NAME?</v>
      </c>
      <c r="CD70" s="179" t="e">
        <f ca="1">_xll.FDS(+IS!$B$1,"FE_ESTIMATE(RECEIV_NET,MEAN,QUARTERLY,"&amp;IS!CD$74&amp;",NOW,,,'')")*1000</f>
        <v>#NAME?</v>
      </c>
      <c r="CE70" s="179" t="e">
        <f ca="1">_xll.FDS(+IS!$B$1,"FE_ESTIMATE(RECEIV_NET,MEAN,ANNUAL,"&amp;IS!CE$74&amp;",NOW,,,'')")*1000</f>
        <v>#NAME?</v>
      </c>
    </row>
    <row r="71" spans="2:83" ht="13.35" customHeight="1" collapsed="1">
      <c r="B71" s="166" t="s">
        <v>248</v>
      </c>
      <c r="C71" s="183"/>
      <c r="D71" s="345"/>
      <c r="E71" s="345"/>
      <c r="F71" s="345"/>
      <c r="G71" s="347">
        <f>+G69/G$58</f>
        <v>0.99545767936083063</v>
      </c>
      <c r="H71" s="347">
        <f>+H69/H$58</f>
        <v>0.26848610807263179</v>
      </c>
      <c r="I71" s="345"/>
      <c r="J71" s="345"/>
      <c r="K71" s="345"/>
      <c r="L71" s="347">
        <f t="shared" ref="L71:AD71" si="233">+L69/L$58</f>
        <v>0.98422810702847863</v>
      </c>
      <c r="M71" s="347">
        <f t="shared" si="233"/>
        <v>0.26473203534576978</v>
      </c>
      <c r="N71" s="347">
        <f t="shared" si="233"/>
        <v>0.7210106733429964</v>
      </c>
      <c r="O71" s="347">
        <f t="shared" si="233"/>
        <v>0.86873877778465725</v>
      </c>
      <c r="P71" s="347">
        <f t="shared" si="233"/>
        <v>0.8815069290788401</v>
      </c>
      <c r="Q71" s="347">
        <f t="shared" si="233"/>
        <v>0.90211358105706396</v>
      </c>
      <c r="R71" s="347">
        <f t="shared" si="233"/>
        <v>0.24699241647264913</v>
      </c>
      <c r="S71" s="347">
        <f t="shared" si="233"/>
        <v>1.033046168618142</v>
      </c>
      <c r="T71" s="347">
        <f t="shared" si="233"/>
        <v>0.86646437796223386</v>
      </c>
      <c r="U71" s="347">
        <f t="shared" si="233"/>
        <v>0.89185052626621775</v>
      </c>
      <c r="V71" s="347">
        <f t="shared" si="233"/>
        <v>0.95230059624254693</v>
      </c>
      <c r="W71" s="347">
        <f t="shared" si="233"/>
        <v>0.25763312312824133</v>
      </c>
      <c r="X71" s="347">
        <f t="shared" si="233"/>
        <v>0.91709911779968867</v>
      </c>
      <c r="Y71" s="347">
        <f t="shared" si="233"/>
        <v>0.83330582263855069</v>
      </c>
      <c r="Z71" s="347">
        <f t="shared" si="233"/>
        <v>0.82197422872496906</v>
      </c>
      <c r="AA71" s="347">
        <f t="shared" si="233"/>
        <v>0.90042892156862742</v>
      </c>
      <c r="AB71" s="347">
        <f t="shared" si="233"/>
        <v>0.23758494379184034</v>
      </c>
      <c r="AC71" s="347">
        <f t="shared" si="233"/>
        <v>0.78385196061821127</v>
      </c>
      <c r="AD71" s="347">
        <f t="shared" si="233"/>
        <v>0.83828794618639468</v>
      </c>
      <c r="AE71" s="347">
        <f t="shared" ref="AE71:AI71" si="234">+AE69/AE$58</f>
        <v>0.77918977979492354</v>
      </c>
      <c r="AF71" s="347">
        <f t="shared" si="234"/>
        <v>1.0237940077882859</v>
      </c>
      <c r="AG71" s="347">
        <f t="shared" si="234"/>
        <v>0.2790476025438855</v>
      </c>
      <c r="AH71" s="347">
        <f t="shared" si="234"/>
        <v>0.76873516446252965</v>
      </c>
      <c r="AI71" s="347">
        <f t="shared" si="234"/>
        <v>0.77083914134374132</v>
      </c>
      <c r="AJ71" s="347">
        <f t="shared" ref="AJ71:AN71" si="235">+AJ69/AJ$58</f>
        <v>0.81794077423316303</v>
      </c>
      <c r="AK71" s="347">
        <f t="shared" si="235"/>
        <v>1.0219002695417789</v>
      </c>
      <c r="AL71" s="347">
        <f t="shared" si="235"/>
        <v>0.27188236179985587</v>
      </c>
      <c r="AM71" s="347">
        <f t="shared" si="235"/>
        <v>0.90072070398046267</v>
      </c>
      <c r="AN71" s="347">
        <f t="shared" si="235"/>
        <v>0.80051692027011623</v>
      </c>
      <c r="AO71" s="347">
        <f t="shared" ref="AO71:AS71" si="236">+AO69/AO$58</f>
        <v>0.74166273542112715</v>
      </c>
      <c r="AP71" s="347">
        <f t="shared" si="236"/>
        <v>0.92169044694321078</v>
      </c>
      <c r="AQ71" s="347">
        <f t="shared" si="236"/>
        <v>0.24263775353148409</v>
      </c>
      <c r="AR71" s="347">
        <f t="shared" si="236"/>
        <v>0.84272515446947127</v>
      </c>
      <c r="AS71" s="347">
        <f t="shared" si="236"/>
        <v>0.85486885061353146</v>
      </c>
      <c r="AT71" s="347">
        <f t="shared" ref="AT71:AU71" si="237">+AT69/AT$58</f>
        <v>0.69078855472821243</v>
      </c>
      <c r="AU71" s="347">
        <f t="shared" si="237"/>
        <v>1.0567293593949432</v>
      </c>
      <c r="AV71" s="340">
        <f t="shared" ref="AV71:AW71" si="238">+AV69/AV$58</f>
        <v>0.27600333918333275</v>
      </c>
      <c r="AW71" s="347">
        <f t="shared" si="238"/>
        <v>0.88079292240274509</v>
      </c>
      <c r="AX71" s="347">
        <f t="shared" ref="AX71:AY71" si="239">+AX69/AX$58</f>
        <v>0.86301177508976745</v>
      </c>
      <c r="AY71" s="347">
        <f t="shared" si="239"/>
        <v>0.80304762993881873</v>
      </c>
      <c r="AZ71" s="347">
        <f t="shared" ref="AZ71" si="240">+AZ69/AZ$58</f>
        <v>0.99287666241574057</v>
      </c>
      <c r="BA71" s="340">
        <f t="shared" ref="BA71:BC71" si="241">+BA69/BA$58</f>
        <v>0.2650910081425778</v>
      </c>
      <c r="BB71" s="347">
        <f t="shared" si="241"/>
        <v>0.78728619291130308</v>
      </c>
      <c r="BC71" s="347">
        <f t="shared" si="241"/>
        <v>0.81482655367702872</v>
      </c>
      <c r="BD71" s="347">
        <f t="shared" ref="BD71:BE71" si="242">+BD69/BD$58</f>
        <v>0.78620750073669377</v>
      </c>
      <c r="BE71" s="347">
        <f t="shared" si="242"/>
        <v>0.93080573791163856</v>
      </c>
      <c r="BF71" s="340">
        <f t="shared" ref="BF71:BH71" si="243">+BF69/BF$58</f>
        <v>0.24870181714969483</v>
      </c>
      <c r="BG71" s="347">
        <f t="shared" si="243"/>
        <v>0.77887713015464899</v>
      </c>
      <c r="BH71" s="347">
        <f t="shared" si="243"/>
        <v>0.91037759913708283</v>
      </c>
      <c r="BI71" s="340">
        <f t="shared" ref="BI71:BK71" si="244">+BI69/BI$58</f>
        <v>0.72838671511873576</v>
      </c>
      <c r="BJ71" s="340">
        <f t="shared" si="244"/>
        <v>1.0114546586428719</v>
      </c>
      <c r="BK71" s="340">
        <f t="shared" si="244"/>
        <v>0.26372782068254041</v>
      </c>
      <c r="BL71" s="340">
        <f t="shared" ref="BL71:BP71" si="245">+BL69/BL$58</f>
        <v>0.79303864750865882</v>
      </c>
      <c r="BM71" s="340">
        <f t="shared" si="245"/>
        <v>0.73690722758694893</v>
      </c>
      <c r="BN71" s="340">
        <f t="shared" ref="BN71:BO71" si="246">+BN69/BN$58</f>
        <v>0.74718425653323972</v>
      </c>
      <c r="BO71" s="340">
        <f t="shared" si="246"/>
        <v>1.0336702451771771</v>
      </c>
      <c r="BP71" s="340">
        <f t="shared" si="245"/>
        <v>0.27083419057196606</v>
      </c>
      <c r="BQ71" s="340">
        <f t="shared" ref="BQ71:BS71" si="247">+BQ69/BQ$58</f>
        <v>0.760248656964709</v>
      </c>
      <c r="BR71" s="340">
        <f t="shared" si="247"/>
        <v>0.78430715217417801</v>
      </c>
      <c r="BS71" s="340">
        <f t="shared" si="247"/>
        <v>0.75592470067458584</v>
      </c>
      <c r="BT71" s="340">
        <f t="shared" ref="BT71:BU71" si="248">+BT69/BT$58</f>
        <v>0.97551944865987383</v>
      </c>
      <c r="BU71" s="340">
        <f t="shared" si="248"/>
        <v>0.25554418083317765</v>
      </c>
      <c r="BV71" s="340">
        <f t="shared" ref="BV71:BZ71" si="249">+BV69/BV$58</f>
        <v>0.75555555555555565</v>
      </c>
      <c r="BW71" s="340">
        <f t="shared" si="249"/>
        <v>0.79999999999999993</v>
      </c>
      <c r="BX71" s="340">
        <f t="shared" si="249"/>
        <v>0.72222222222222221</v>
      </c>
      <c r="BY71" s="340">
        <f t="shared" si="249"/>
        <v>1.0222222222222221</v>
      </c>
      <c r="BZ71" s="340">
        <f t="shared" si="249"/>
        <v>0.26596234173509109</v>
      </c>
      <c r="CA71" s="340">
        <f t="shared" ref="CA71:CE71" si="250">+CA69/CA$58</f>
        <v>0.76666666666666672</v>
      </c>
      <c r="CB71" s="340">
        <f t="shared" si="250"/>
        <v>0.78888888888888886</v>
      </c>
      <c r="CC71" s="340">
        <f t="shared" si="250"/>
        <v>0.73333333333333328</v>
      </c>
      <c r="CD71" s="340">
        <f t="shared" si="250"/>
        <v>1</v>
      </c>
      <c r="CE71" s="340">
        <f t="shared" si="250"/>
        <v>0.25840789767589006</v>
      </c>
    </row>
    <row r="72" spans="2:83" ht="13.35" customHeight="1">
      <c r="B72" s="273" t="s">
        <v>128</v>
      </c>
      <c r="C72" s="166"/>
      <c r="D72" s="345"/>
      <c r="E72" s="345"/>
      <c r="F72" s="345"/>
      <c r="G72" s="345"/>
      <c r="H72" s="345"/>
      <c r="I72" s="345"/>
      <c r="J72" s="345"/>
      <c r="K72" s="345"/>
      <c r="L72" s="348">
        <f>+L69/G69-1</f>
        <v>0.16443267467916067</v>
      </c>
      <c r="M72" s="348">
        <f>+M69/H69-1</f>
        <v>0.16443267467916067</v>
      </c>
      <c r="N72" s="348"/>
      <c r="O72" s="348"/>
      <c r="P72" s="348"/>
      <c r="Q72" s="348">
        <f>+Q69/L69-1</f>
        <v>0.15436828662398105</v>
      </c>
      <c r="R72" s="348">
        <f>+R69/M69-1</f>
        <v>0.15436828662398105</v>
      </c>
      <c r="S72" s="348">
        <f t="shared" ref="S72" si="251">+S69/N69-1</f>
        <v>0.76963494311691871</v>
      </c>
      <c r="T72" s="348">
        <f t="shared" ref="T72" si="252">+T69/O69-1</f>
        <v>0.23127360843845768</v>
      </c>
      <c r="U72" s="348">
        <f t="shared" ref="U72" si="253">+U69/P69-1</f>
        <v>0.25094127749521111</v>
      </c>
      <c r="V72" s="348">
        <f t="shared" ref="V72" si="254">+V69/Q69-1</f>
        <v>0.28284787682235635</v>
      </c>
      <c r="W72" s="348">
        <f t="shared" ref="W72" si="255">+W69/R69-1</f>
        <v>0.28284787682235635</v>
      </c>
      <c r="X72" s="348">
        <f t="shared" ref="X72" si="256">+X69/S69-1</f>
        <v>9.5063513373954356E-2</v>
      </c>
      <c r="Y72" s="348">
        <f t="shared" ref="Y72" si="257">+Y69/T69-1</f>
        <v>0.16887589719842566</v>
      </c>
      <c r="Z72" s="348">
        <f t="shared" ref="Z72" si="258">+Z69/U69-1</f>
        <v>0.10650543880029573</v>
      </c>
      <c r="AA72" s="348">
        <f t="shared" ref="AA72" si="259">+AA69/V69-1</f>
        <v>0.11102185469580617</v>
      </c>
      <c r="AB72" s="348">
        <f t="shared" ref="AB72" si="260">+AB69/W69-1</f>
        <v>0.11102185469580617</v>
      </c>
      <c r="AC72" s="348">
        <f t="shared" ref="AC72" si="261">+AC69/X69-1</f>
        <v>-1.8272268590559748E-2</v>
      </c>
      <c r="AD72" s="348">
        <f t="shared" ref="AD72:AJ72" si="262">+AD69/Y69-1</f>
        <v>0.14786936390422656</v>
      </c>
      <c r="AE72" s="348">
        <f t="shared" si="262"/>
        <v>0.10603674540682406</v>
      </c>
      <c r="AF72" s="348">
        <f t="shared" si="262"/>
        <v>0.36976862878530103</v>
      </c>
      <c r="AG72" s="348">
        <f t="shared" si="262"/>
        <v>0.36976862878530103</v>
      </c>
      <c r="AH72" s="348">
        <f t="shared" si="262"/>
        <v>0.19777132015658405</v>
      </c>
      <c r="AI72" s="348">
        <f t="shared" si="262"/>
        <v>0.13322116525378025</v>
      </c>
      <c r="AJ72" s="348">
        <f t="shared" si="262"/>
        <v>0.2644431979980153</v>
      </c>
      <c r="AK72" s="348">
        <f t="shared" ref="AK72" si="263">+AK69/AF69-1</f>
        <v>0.17718748059367817</v>
      </c>
      <c r="AL72" s="348">
        <f t="shared" ref="AL72:BH72" si="264">+AL69/AG69-1</f>
        <v>0.17718748059367817</v>
      </c>
      <c r="AM72" s="348">
        <f t="shared" si="264"/>
        <v>0.36068893611901998</v>
      </c>
      <c r="AN72" s="348">
        <f t="shared" si="264"/>
        <v>0.20270295993147425</v>
      </c>
      <c r="AO72" s="348">
        <f t="shared" si="264"/>
        <v>4.6099774790145265E-2</v>
      </c>
      <c r="AP72" s="348">
        <f t="shared" si="264"/>
        <v>2.9132871744147693E-2</v>
      </c>
      <c r="AQ72" s="348">
        <f t="shared" si="264"/>
        <v>2.9132871744147693E-2</v>
      </c>
      <c r="AR72" s="348">
        <f t="shared" si="264"/>
        <v>7.1217010742230746E-2</v>
      </c>
      <c r="AS72" s="348">
        <f t="shared" si="264"/>
        <v>0.2018548999746772</v>
      </c>
      <c r="AT72" s="348">
        <f t="shared" si="264"/>
        <v>4.8553348338063129E-2</v>
      </c>
      <c r="AU72" s="348">
        <f t="shared" si="264"/>
        <v>0.28378655457877344</v>
      </c>
      <c r="AV72" s="306">
        <f t="shared" ref="AV72" si="265">+AV69/AQ69-1</f>
        <v>0.28378655457877344</v>
      </c>
      <c r="AW72" s="348">
        <f t="shared" si="264"/>
        <v>0.17230659183448882</v>
      </c>
      <c r="AX72" s="348">
        <f t="shared" si="264"/>
        <v>0.1330822513102794</v>
      </c>
      <c r="AY72" s="348">
        <f t="shared" si="264"/>
        <v>0.31071223032772854</v>
      </c>
      <c r="AZ72" s="348">
        <f t="shared" si="264"/>
        <v>8.8032421964683305E-2</v>
      </c>
      <c r="BA72" s="306">
        <f t="shared" ref="BA72" si="266">+BA69/AV69-1</f>
        <v>8.8032421964683305E-2</v>
      </c>
      <c r="BB72" s="348">
        <f t="shared" si="264"/>
        <v>4.7781089390063647E-2</v>
      </c>
      <c r="BC72" s="348">
        <f t="shared" si="264"/>
        <v>0.135372600065083</v>
      </c>
      <c r="BD72" s="348">
        <f t="shared" si="264"/>
        <v>0.17147875206189855</v>
      </c>
      <c r="BE72" s="348">
        <f t="shared" si="264"/>
        <v>0.1174058239600726</v>
      </c>
      <c r="BF72" s="306">
        <f t="shared" ref="BF72" si="267">+BF69/BA69-1</f>
        <v>0.1174058239600726</v>
      </c>
      <c r="BG72" s="348">
        <f t="shared" si="264"/>
        <v>0.13989741751965412</v>
      </c>
      <c r="BH72" s="348">
        <f t="shared" si="264"/>
        <v>0.27863079883716169</v>
      </c>
      <c r="BI72" s="306">
        <f t="shared" ref="BI72" si="268">+BI69/BD69-1</f>
        <v>4.7722276811491326E-2</v>
      </c>
      <c r="BJ72" s="306">
        <f t="shared" ref="BJ72" si="269">+BJ69/BE69-1</f>
        <v>0.20059115727246613</v>
      </c>
      <c r="BK72" s="306">
        <f t="shared" ref="BK72" si="270">+BK69/BF69-1</f>
        <v>0.20059115727246613</v>
      </c>
      <c r="BL72" s="306">
        <f t="shared" ref="BL72" si="271">+BL69/BG69-1</f>
        <v>0.13600102175151796</v>
      </c>
      <c r="BM72" s="306">
        <f t="shared" ref="BM72:BO72" si="272">+BM69/BH69-1</f>
        <v>-0.12271038811323176</v>
      </c>
      <c r="BN72" s="306">
        <f t="shared" si="272"/>
        <v>0.11156553351123488</v>
      </c>
      <c r="BO72" s="306">
        <f t="shared" si="272"/>
        <v>0.12531971058498481</v>
      </c>
      <c r="BP72" s="306">
        <f t="shared" ref="BP72:BS72" si="273">+BP69/BK69-1</f>
        <v>0.12531971058498481</v>
      </c>
      <c r="BQ72" s="306">
        <f t="shared" si="273"/>
        <v>5.1319305710505247E-2</v>
      </c>
      <c r="BR72" s="306">
        <f t="shared" si="273"/>
        <v>0.17421338881588544</v>
      </c>
      <c r="BS72" s="306">
        <f t="shared" si="273"/>
        <v>0.11699879095740506</v>
      </c>
      <c r="BT72" s="306">
        <f t="shared" ref="BT72" si="274">+BT69/BO69-1</f>
        <v>3.913680257184704E-2</v>
      </c>
      <c r="BU72" s="306">
        <f t="shared" ref="BU72" si="275">+BU69/BP69-1</f>
        <v>3.913680257184704E-2</v>
      </c>
      <c r="BV72" s="306">
        <f t="shared" ref="BV72" si="276">+BV69/BQ69-1</f>
        <v>7.8302171622030681E-2</v>
      </c>
      <c r="BW72" s="306">
        <f t="shared" ref="BW72" si="277">+BW69/BR69-1</f>
        <v>0.10160923256265786</v>
      </c>
      <c r="BX72" s="306">
        <f t="shared" ref="BX72" si="278">+BX69/BS69-1</f>
        <v>2.7071728435439146E-2</v>
      </c>
      <c r="BY72" s="306">
        <f t="shared" ref="BY72" si="279">+BY69/BT69-1</f>
        <v>0.12122600864632904</v>
      </c>
      <c r="BZ72" s="306">
        <f t="shared" ref="BZ72" si="280">+BZ69/BU69-1</f>
        <v>0.12122600864632904</v>
      </c>
      <c r="CA72" s="306">
        <f t="shared" ref="CA72" si="281">+CA69/BV69-1</f>
        <v>9.588235294117653E-2</v>
      </c>
      <c r="CB72" s="306">
        <f t="shared" ref="CB72" si="282">+CB69/BW69-1</f>
        <v>5.513888888888907E-2</v>
      </c>
      <c r="CC72" s="306">
        <f t="shared" ref="CC72" si="283">+CC69/BX69-1</f>
        <v>7.6307692307692188E-2</v>
      </c>
      <c r="CD72" s="306">
        <f t="shared" ref="CD72" si="284">+CD69/BY69-1</f>
        <v>3.6956521739130554E-2</v>
      </c>
      <c r="CE72" s="306">
        <f t="shared" ref="CE72" si="285">+CE69/BZ69-1</f>
        <v>3.6956521739130554E-2</v>
      </c>
    </row>
    <row r="73" spans="2:83" ht="13.35" customHeight="1">
      <c r="B73" s="273" t="s">
        <v>129</v>
      </c>
      <c r="C73" s="166"/>
      <c r="D73" s="345"/>
      <c r="E73" s="345"/>
      <c r="F73" s="345"/>
      <c r="G73" s="345"/>
      <c r="H73" s="345"/>
      <c r="I73" s="345"/>
      <c r="J73" s="345"/>
      <c r="K73" s="345"/>
      <c r="L73" s="345"/>
      <c r="M73" s="345"/>
      <c r="N73" s="348">
        <f>+N69/L69-1</f>
        <v>-0.23421153913438997</v>
      </c>
      <c r="O73" s="348">
        <f>+O69/N69-1</f>
        <v>0.28213094531000138</v>
      </c>
      <c r="P73" s="348">
        <f t="shared" ref="P73" si="286">+P69/O69-1</f>
        <v>7.8967999429834013E-2</v>
      </c>
      <c r="Q73" s="348">
        <f t="shared" ref="Q73" si="287">+Q69/P69-1</f>
        <v>8.9669066649052054E-2</v>
      </c>
      <c r="R73" s="345"/>
      <c r="S73" s="348">
        <f>+S69/Q69-1</f>
        <v>0.17394598854302434</v>
      </c>
      <c r="T73" s="348">
        <f>+T69/S69-1</f>
        <v>-0.10792109883300627</v>
      </c>
      <c r="U73" s="348">
        <f t="shared" ref="U73" si="288">+U69/T69-1</f>
        <v>9.6202824727946279E-2</v>
      </c>
      <c r="V73" s="348">
        <f t="shared" ref="V73" si="289">+V69/U69-1</f>
        <v>0.11746224522124837</v>
      </c>
      <c r="W73" s="345"/>
      <c r="X73" s="348">
        <f>+X69/V69-1</f>
        <v>2.1027761370349118E-3</v>
      </c>
      <c r="Y73" s="348">
        <f>+Y69/X69-1</f>
        <v>-4.7790823784599423E-2</v>
      </c>
      <c r="Z73" s="348">
        <f t="shared" ref="Z73" si="290">+Z69/Y69-1</f>
        <v>3.7710154257558193E-2</v>
      </c>
      <c r="AA73" s="348">
        <f t="shared" ref="AA73" si="291">+AA69/Z69-1</f>
        <v>0.12202338344070629</v>
      </c>
      <c r="AB73" s="345"/>
      <c r="AC73" s="348">
        <f>+AC69/AA69-1</f>
        <v>-0.11451599183395711</v>
      </c>
      <c r="AD73" s="348">
        <f>+AD69/AC69-1</f>
        <v>0.11335526789788419</v>
      </c>
      <c r="AE73" s="348">
        <f>+AE69/AD69-1</f>
        <v>-1.0785392264711646E-4</v>
      </c>
      <c r="AF73" s="348">
        <f>+AF69/AE69-1</f>
        <v>0.38956724338784143</v>
      </c>
      <c r="AG73" s="345"/>
      <c r="AH73" s="348">
        <f>+AH69/AF69-1</f>
        <v>-0.22570328510215487</v>
      </c>
      <c r="AI73" s="348">
        <f>+AI69/AH69-1</f>
        <v>5.3354453222119735E-2</v>
      </c>
      <c r="AJ73" s="348">
        <f>+AJ69/AI69-1</f>
        <v>0.11567526410964124</v>
      </c>
      <c r="AK73" s="348">
        <f>+AK69/AJ69-1</f>
        <v>0.29367706271753224</v>
      </c>
      <c r="AL73" s="345"/>
      <c r="AM73" s="348">
        <f>+AM69/AK69-1</f>
        <v>-0.10500494559841744</v>
      </c>
      <c r="AN73" s="348">
        <f>+AN69/AM69-1</f>
        <v>-6.8947732932525874E-2</v>
      </c>
      <c r="AO73" s="348">
        <f>+AO69/AN69-1</f>
        <v>-2.9596100278551529E-2</v>
      </c>
      <c r="AP73" s="348">
        <f>+AP69/AO69-1</f>
        <v>0.2726946537495516</v>
      </c>
      <c r="AQ73" s="345"/>
      <c r="AR73" s="348">
        <f>+AR69/AP69-1</f>
        <v>-6.8406079401286624E-2</v>
      </c>
      <c r="AS73" s="348">
        <f>+AS69/AR69-1</f>
        <v>4.4596676570925586E-2</v>
      </c>
      <c r="AT73" s="348">
        <f>+AT69/AS69-1</f>
        <v>-0.15337512180989754</v>
      </c>
      <c r="AU73" s="348">
        <f>+AU69/AT69-1</f>
        <v>0.55821188035650393</v>
      </c>
      <c r="AV73" s="166"/>
      <c r="AW73" s="348">
        <f>+AW69/AU69-1</f>
        <v>-0.14930274808093513</v>
      </c>
      <c r="AX73" s="306">
        <f>+AX69/AW69-1</f>
        <v>9.6453967285443643E-3</v>
      </c>
      <c r="AY73" s="306">
        <f>+AY69/AX69-1</f>
        <v>-2.0652224443308054E-2</v>
      </c>
      <c r="AZ73" s="306">
        <f>+AZ69/AY69-1</f>
        <v>0.29348380742164792</v>
      </c>
      <c r="BA73" s="166"/>
      <c r="BB73" s="348">
        <f>+BB69/AZ69-1</f>
        <v>-0.18077395915521388</v>
      </c>
      <c r="BC73" s="306">
        <f>+BC69/BB69-1</f>
        <v>9.4048872264653749E-2</v>
      </c>
      <c r="BD73" s="306">
        <f>+BD69/BC69-1</f>
        <v>1.049215903042211E-2</v>
      </c>
      <c r="BE73" s="306">
        <f>+BE69/BD69-1</f>
        <v>0.23377938956815947</v>
      </c>
      <c r="BF73" s="166"/>
      <c r="BG73" s="348">
        <f>+BG69/BE69-1</f>
        <v>-0.16428424812184406</v>
      </c>
      <c r="BH73" s="306">
        <f>+BH69/BG69-1</f>
        <v>0.22720216925706871</v>
      </c>
      <c r="BI73" s="306">
        <f t="shared" ref="BI73" si="292">+BI69/BH69-1</f>
        <v>-0.17199308313052386</v>
      </c>
      <c r="BJ73" s="306">
        <f t="shared" ref="BJ73" si="293">+BJ69/BI69-1</f>
        <v>0.41379510384035267</v>
      </c>
      <c r="BK73" s="166"/>
      <c r="BL73" s="306">
        <f>+BL69/BJ69-1</f>
        <v>-0.20924459398465389</v>
      </c>
      <c r="BM73" s="306">
        <f>+BM69/BL69-1</f>
        <v>-5.2279272500843188E-2</v>
      </c>
      <c r="BN73" s="306">
        <f>+BN69/BM69-1</f>
        <v>4.9122134618192481E-2</v>
      </c>
      <c r="BO73" s="306">
        <f>+BO69/BN69-1</f>
        <v>0.43128897857646109</v>
      </c>
      <c r="BP73" s="166"/>
      <c r="BQ73" s="306">
        <f>+BQ69/BO69-1</f>
        <v>-0.26124423431033539</v>
      </c>
      <c r="BR73" s="306">
        <f>+BR69/BQ69-1</f>
        <v>5.8504643682699475E-2</v>
      </c>
      <c r="BS73" s="306">
        <f>+BS69/BR69-1</f>
        <v>-1.9972799689139675E-3</v>
      </c>
      <c r="BT73" s="306">
        <f t="shared" ref="BT73" si="294">+BT69/BS69-1</f>
        <v>0.33151894594215769</v>
      </c>
      <c r="BU73" s="166"/>
      <c r="BV73" s="306">
        <f>+BV69/BT69-1</f>
        <v>-0.23340031411659734</v>
      </c>
      <c r="BW73" s="306">
        <f>+BW69/BV69-1</f>
        <v>8.1383789144438667E-2</v>
      </c>
      <c r="BX73" s="306">
        <f t="shared" ref="BX73" si="295">+BX69/BW69-1</f>
        <v>-6.9524520722192173E-2</v>
      </c>
      <c r="BY73" s="306">
        <f t="shared" ref="BY73" si="296">+BY69/BX69-1</f>
        <v>0.45358267768689475</v>
      </c>
      <c r="BZ73" s="166"/>
      <c r="CA73" s="306">
        <f>+CA69/BY69-1</f>
        <v>-0.25072816626494632</v>
      </c>
      <c r="CB73" s="306">
        <f>+CB69/CA69-1</f>
        <v>4.1179362618649185E-2</v>
      </c>
      <c r="CC73" s="306">
        <f t="shared" ref="CC73" si="297">+CC69/CB69-1</f>
        <v>-5.085678634687163E-2</v>
      </c>
      <c r="CD73" s="306">
        <f t="shared" ref="CD73" si="298">+CD69/CC69-1</f>
        <v>0.40043785646711716</v>
      </c>
      <c r="CE73" s="166"/>
    </row>
    <row r="74" spans="2:83" ht="13.35" customHeight="1">
      <c r="B74" s="166" t="s">
        <v>113</v>
      </c>
      <c r="C74" s="315"/>
      <c r="D74" s="351"/>
      <c r="E74" s="351"/>
      <c r="F74" s="351"/>
      <c r="G74" s="351">
        <f t="shared" ref="G74:AD74" si="299">+G52</f>
        <v>0</v>
      </c>
      <c r="H74" s="351">
        <f t="shared" si="299"/>
        <v>0</v>
      </c>
      <c r="I74" s="351"/>
      <c r="J74" s="351"/>
      <c r="K74" s="351"/>
      <c r="L74" s="351">
        <f t="shared" si="299"/>
        <v>88.580529632563071</v>
      </c>
      <c r="M74" s="351">
        <f t="shared" si="299"/>
        <v>88.574498434634393</v>
      </c>
      <c r="N74" s="351">
        <f t="shared" si="299"/>
        <v>64.890960600869676</v>
      </c>
      <c r="O74" s="351">
        <f t="shared" si="299"/>
        <v>78.186490000619159</v>
      </c>
      <c r="P74" s="351">
        <f t="shared" si="299"/>
        <v>79.335623617095607</v>
      </c>
      <c r="Q74" s="351">
        <f t="shared" si="299"/>
        <v>81.190222295135754</v>
      </c>
      <c r="R74" s="351">
        <f t="shared" si="299"/>
        <v>82.972024045695804</v>
      </c>
      <c r="S74" s="351">
        <f t="shared" si="299"/>
        <v>92.974155175632788</v>
      </c>
      <c r="T74" s="351">
        <f t="shared" si="299"/>
        <v>77.981794016601043</v>
      </c>
      <c r="U74" s="351">
        <f t="shared" si="299"/>
        <v>80.266547363959603</v>
      </c>
      <c r="V74" s="351">
        <f t="shared" si="299"/>
        <v>85.707053661829221</v>
      </c>
      <c r="W74" s="351">
        <f t="shared" si="299"/>
        <v>82.523191546346567</v>
      </c>
      <c r="X74" s="351">
        <f t="shared" si="299"/>
        <v>82.538920601971981</v>
      </c>
      <c r="Y74" s="351">
        <f t="shared" si="299"/>
        <v>74.99752403746956</v>
      </c>
      <c r="Z74" s="351">
        <f t="shared" si="299"/>
        <v>73.977680585247214</v>
      </c>
      <c r="AA74" s="351">
        <f t="shared" si="299"/>
        <v>81.038602941176464</v>
      </c>
      <c r="AB74" s="351">
        <f t="shared" si="299"/>
        <v>81.257142857142853</v>
      </c>
      <c r="AC74" s="351">
        <f t="shared" si="299"/>
        <v>70.546676455639016</v>
      </c>
      <c r="AD74" s="351">
        <f t="shared" si="299"/>
        <v>75.445915156775527</v>
      </c>
      <c r="AE74" s="351">
        <f t="shared" ref="AE74:AI74" si="300">+AE52</f>
        <v>70.127080181543121</v>
      </c>
      <c r="AF74" s="351">
        <f t="shared" si="300"/>
        <v>92.141460700945728</v>
      </c>
      <c r="AG74" s="351">
        <f t="shared" si="300"/>
        <v>86.897949988736201</v>
      </c>
      <c r="AH74" s="351">
        <f t="shared" si="300"/>
        <v>69.186164801627669</v>
      </c>
      <c r="AI74" s="351">
        <f t="shared" si="300"/>
        <v>69.375522720936715</v>
      </c>
      <c r="AJ74" s="351">
        <f t="shared" ref="AJ74:AN74" si="301">+AJ52</f>
        <v>73.614669680984676</v>
      </c>
      <c r="AK74" s="351">
        <f t="shared" si="301"/>
        <v>91.97102425876011</v>
      </c>
      <c r="AL74" s="351">
        <f t="shared" si="301"/>
        <v>90.511493820121984</v>
      </c>
      <c r="AM74" s="351">
        <f t="shared" si="301"/>
        <v>81.064863358241638</v>
      </c>
      <c r="AN74" s="351">
        <f t="shared" si="301"/>
        <v>72.046522824310458</v>
      </c>
      <c r="AO74" s="351">
        <f t="shared" ref="AO74:AS74" si="302">+AO52</f>
        <v>66.749646187901448</v>
      </c>
      <c r="AP74" s="351">
        <f t="shared" si="302"/>
        <v>82.952140224888964</v>
      </c>
      <c r="AQ74" s="351">
        <f t="shared" si="302"/>
        <v>86.113237585002821</v>
      </c>
      <c r="AR74" s="351">
        <f t="shared" si="302"/>
        <v>75.845263902252412</v>
      </c>
      <c r="AS74" s="351">
        <f t="shared" si="302"/>
        <v>76.938196555217829</v>
      </c>
      <c r="AT74" s="351">
        <f t="shared" ref="AT74:AU74" si="303">+AT52</f>
        <v>62.170969925539119</v>
      </c>
      <c r="AU74" s="351">
        <f t="shared" si="303"/>
        <v>95.105642345544879</v>
      </c>
      <c r="AV74" s="354">
        <f t="shared" ref="AV74:AX74" si="304">+AV52</f>
        <v>88.379090981725412</v>
      </c>
      <c r="AW74" s="351">
        <f t="shared" si="304"/>
        <v>79.271363016247065</v>
      </c>
      <c r="AX74" s="351">
        <f t="shared" si="304"/>
        <v>77.671059758079068</v>
      </c>
      <c r="AY74" s="351">
        <f t="shared" ref="AY74:AZ74" si="305">+AY52</f>
        <v>72.274286694493682</v>
      </c>
      <c r="AZ74" s="351">
        <f t="shared" si="305"/>
        <v>89.358899617416654</v>
      </c>
      <c r="BA74" s="354">
        <f t="shared" ref="BA74:BC74" si="306">+BA52</f>
        <v>91.572042843384281</v>
      </c>
      <c r="BB74" s="351">
        <f t="shared" si="306"/>
        <v>70.855757362017272</v>
      </c>
      <c r="BC74" s="351">
        <f t="shared" si="306"/>
        <v>73.334389830932579</v>
      </c>
      <c r="BD74" s="351">
        <f t="shared" ref="BD74:BE74" si="307">+BD52</f>
        <v>70.758675066302445</v>
      </c>
      <c r="BE74" s="351">
        <f t="shared" si="307"/>
        <v>83.772516412047466</v>
      </c>
      <c r="BF74" s="354">
        <f t="shared" ref="BF74:BM74" si="308">+BF52</f>
        <v>84.829056425775391</v>
      </c>
      <c r="BG74" s="351">
        <f t="shared" si="308"/>
        <v>70.098941713918407</v>
      </c>
      <c r="BH74" s="351">
        <f t="shared" si="308"/>
        <v>81.933983922337461</v>
      </c>
      <c r="BI74" s="351">
        <f t="shared" si="308"/>
        <v>65.554804360686219</v>
      </c>
      <c r="BJ74" s="351">
        <f t="shared" si="308"/>
        <v>91.030919277858473</v>
      </c>
      <c r="BK74" s="354">
        <f t="shared" ref="BK74" si="309">+BK52</f>
        <v>87.010702343549909</v>
      </c>
      <c r="BL74" s="351">
        <f t="shared" si="308"/>
        <v>71.373478275779291</v>
      </c>
      <c r="BM74" s="351">
        <f t="shared" si="308"/>
        <v>66.321650482825405</v>
      </c>
      <c r="BN74" s="351">
        <f t="shared" ref="BN74:BO74" si="310">+BN52</f>
        <v>67.246583087991581</v>
      </c>
      <c r="BO74" s="351">
        <f t="shared" si="310"/>
        <v>93.030322065945938</v>
      </c>
      <c r="BP74" s="354">
        <f t="shared" ref="BP74:BT74" si="311">+BP52</f>
        <v>92.07131347612048</v>
      </c>
      <c r="BQ74" s="351">
        <f t="shared" si="311"/>
        <v>68.422379126823813</v>
      </c>
      <c r="BR74" s="351">
        <f t="shared" si="311"/>
        <v>70.587643695676022</v>
      </c>
      <c r="BS74" s="351">
        <f t="shared" si="311"/>
        <v>68.033223060712729</v>
      </c>
      <c r="BT74" s="351">
        <f t="shared" si="311"/>
        <v>87.796750379388641</v>
      </c>
      <c r="BU74" s="354">
        <f t="shared" ref="BU74" si="312">+BU52</f>
        <v>90.263493368204749</v>
      </c>
      <c r="BV74" s="315">
        <v>68</v>
      </c>
      <c r="BW74" s="315">
        <v>72</v>
      </c>
      <c r="BX74" s="315">
        <v>65</v>
      </c>
      <c r="BY74" s="315">
        <v>92</v>
      </c>
      <c r="BZ74" s="354">
        <f t="shared" ref="BZ74" si="313">+BZ52</f>
        <v>90.570430766420628</v>
      </c>
      <c r="CA74" s="315">
        <v>69</v>
      </c>
      <c r="CB74" s="315">
        <v>71</v>
      </c>
      <c r="CC74" s="315">
        <v>66</v>
      </c>
      <c r="CD74" s="315">
        <v>90</v>
      </c>
      <c r="CE74" s="354">
        <f t="shared" ref="CE74" si="314">+CE52</f>
        <v>91.369132121626052</v>
      </c>
    </row>
    <row r="75" spans="2:83" ht="13.35" customHeight="1">
      <c r="B75" s="166"/>
      <c r="C75" s="315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  <c r="AA75" s="351"/>
      <c r="AB75" s="351"/>
      <c r="AC75" s="351"/>
      <c r="AD75" s="351"/>
      <c r="AE75" s="351"/>
      <c r="AF75" s="351"/>
      <c r="AG75" s="351"/>
      <c r="AH75" s="351"/>
      <c r="AI75" s="351"/>
      <c r="AJ75" s="351"/>
      <c r="AK75" s="351"/>
      <c r="AL75" s="351"/>
      <c r="AM75" s="351"/>
      <c r="AN75" s="351"/>
      <c r="AO75" s="351"/>
      <c r="AP75" s="351"/>
      <c r="AQ75" s="351"/>
      <c r="AR75" s="351"/>
      <c r="AS75" s="351"/>
      <c r="AT75" s="351"/>
      <c r="AU75" s="351"/>
      <c r="AV75" s="315"/>
      <c r="AW75" s="315"/>
      <c r="AX75" s="315"/>
      <c r="AY75" s="315"/>
      <c r="AZ75" s="315"/>
      <c r="BA75" s="315"/>
      <c r="BB75" s="315"/>
      <c r="BC75" s="315"/>
      <c r="BD75" s="315"/>
      <c r="BE75" s="315"/>
      <c r="BF75" s="315"/>
      <c r="BG75" s="315"/>
      <c r="BH75" s="315"/>
      <c r="BI75" s="315"/>
      <c r="BJ75" s="315"/>
      <c r="BK75" s="315"/>
      <c r="BL75" s="315"/>
      <c r="BM75" s="315"/>
      <c r="BN75" s="315"/>
      <c r="BO75" s="315"/>
      <c r="BP75" s="315"/>
      <c r="BQ75" s="315"/>
      <c r="BR75" s="315"/>
      <c r="BS75" s="315"/>
      <c r="BT75" s="315"/>
      <c r="BU75" s="315"/>
      <c r="BV75" s="315"/>
      <c r="BW75" s="315"/>
      <c r="BX75" s="315"/>
      <c r="BY75" s="315"/>
      <c r="BZ75" s="315"/>
      <c r="CA75" s="315"/>
      <c r="CB75" s="315"/>
      <c r="CC75" s="315"/>
      <c r="CD75" s="315"/>
      <c r="CE75" s="315"/>
    </row>
    <row r="76" spans="2:83" ht="12.75">
      <c r="B76" s="273" t="s">
        <v>123</v>
      </c>
      <c r="C76" s="166"/>
      <c r="D76" s="344"/>
      <c r="E76" s="344"/>
      <c r="F76" s="344"/>
      <c r="G76" s="344">
        <f>+G10</f>
        <v>4377</v>
      </c>
      <c r="H76" s="344">
        <f>+H10</f>
        <v>4377</v>
      </c>
      <c r="I76" s="344"/>
      <c r="J76" s="344"/>
      <c r="K76" s="344"/>
      <c r="L76" s="344">
        <f t="shared" ref="L76:AQ76" si="315">+L10</f>
        <v>4679</v>
      </c>
      <c r="M76" s="344">
        <f t="shared" si="315"/>
        <v>4679</v>
      </c>
      <c r="N76" s="344">
        <f t="shared" si="315"/>
        <v>4389</v>
      </c>
      <c r="O76" s="344">
        <f t="shared" si="315"/>
        <v>5502</v>
      </c>
      <c r="P76" s="344">
        <f t="shared" si="315"/>
        <v>5901</v>
      </c>
      <c r="Q76" s="344">
        <f t="shared" si="315"/>
        <v>6528</v>
      </c>
      <c r="R76" s="344">
        <f t="shared" si="315"/>
        <v>6528</v>
      </c>
      <c r="S76" s="344">
        <f t="shared" si="315"/>
        <v>14167</v>
      </c>
      <c r="T76" s="344">
        <f t="shared" si="315"/>
        <v>12851</v>
      </c>
      <c r="U76" s="344">
        <f t="shared" si="315"/>
        <v>13300</v>
      </c>
      <c r="V76" s="344">
        <f t="shared" si="315"/>
        <v>7945</v>
      </c>
      <c r="W76" s="344">
        <f t="shared" si="315"/>
        <v>7945</v>
      </c>
      <c r="X76" s="344">
        <f t="shared" si="315"/>
        <v>7448</v>
      </c>
      <c r="Y76" s="344">
        <f t="shared" si="315"/>
        <v>7635</v>
      </c>
      <c r="Z76" s="344">
        <f t="shared" si="315"/>
        <v>9072</v>
      </c>
      <c r="AA76" s="344">
        <f t="shared" si="315"/>
        <v>9808</v>
      </c>
      <c r="AB76" s="344">
        <f t="shared" si="315"/>
        <v>9808</v>
      </c>
      <c r="AC76" s="344">
        <f t="shared" si="315"/>
        <v>9043</v>
      </c>
      <c r="AD76" s="344">
        <f t="shared" si="315"/>
        <v>19055</v>
      </c>
      <c r="AE76" s="344">
        <f t="shared" si="315"/>
        <v>18299</v>
      </c>
      <c r="AF76" s="344">
        <f t="shared" si="315"/>
        <v>16524</v>
      </c>
      <c r="AG76" s="344">
        <f t="shared" si="315"/>
        <v>16524</v>
      </c>
      <c r="AH76" s="344">
        <f t="shared" si="315"/>
        <v>15488</v>
      </c>
      <c r="AI76" s="344">
        <f t="shared" si="315"/>
        <v>15815</v>
      </c>
      <c r="AJ76" s="344">
        <f t="shared" si="315"/>
        <v>16623</v>
      </c>
      <c r="AK76" s="344">
        <f t="shared" si="315"/>
        <v>13974</v>
      </c>
      <c r="AL76" s="344">
        <f t="shared" si="315"/>
        <v>13974</v>
      </c>
      <c r="AM76" s="344">
        <f t="shared" si="315"/>
        <v>16539</v>
      </c>
      <c r="AN76" s="344">
        <f t="shared" si="315"/>
        <v>19395</v>
      </c>
      <c r="AO76" s="344">
        <f t="shared" si="315"/>
        <v>20459</v>
      </c>
      <c r="AP76" s="344">
        <f t="shared" si="315"/>
        <v>18692</v>
      </c>
      <c r="AQ76" s="344">
        <f t="shared" si="315"/>
        <v>18692</v>
      </c>
      <c r="AR76" s="344">
        <f t="shared" ref="AR76:BK76" si="316">+AR10</f>
        <v>20490</v>
      </c>
      <c r="AS76" s="344">
        <f t="shared" si="316"/>
        <v>24338</v>
      </c>
      <c r="AT76" s="344">
        <f t="shared" si="316"/>
        <v>22480</v>
      </c>
      <c r="AU76" s="344">
        <f t="shared" si="316"/>
        <v>19142</v>
      </c>
      <c r="AV76" s="182">
        <f t="shared" si="316"/>
        <v>19142</v>
      </c>
      <c r="AW76" s="344">
        <f t="shared" si="316"/>
        <v>22099</v>
      </c>
      <c r="AX76" s="344">
        <f t="shared" si="316"/>
        <v>21979</v>
      </c>
      <c r="AY76" s="344">
        <f t="shared" ref="AY76:AZ76" si="317">+AY10</f>
        <v>22899</v>
      </c>
      <c r="AZ76" s="344">
        <f t="shared" si="317"/>
        <v>32112</v>
      </c>
      <c r="BA76" s="182">
        <f t="shared" si="316"/>
        <v>32112</v>
      </c>
      <c r="BB76" s="344">
        <f t="shared" ref="BB76:BC76" si="318">+BB10</f>
        <v>26752</v>
      </c>
      <c r="BC76" s="344">
        <f t="shared" si="318"/>
        <v>34959</v>
      </c>
      <c r="BD76" s="344">
        <f t="shared" ref="BD76:BE76" si="319">+BD10</f>
        <v>38736</v>
      </c>
      <c r="BE76" s="344">
        <f t="shared" si="319"/>
        <v>30216</v>
      </c>
      <c r="BF76" s="182">
        <f t="shared" si="316"/>
        <v>30216</v>
      </c>
      <c r="BG76" s="344">
        <f t="shared" si="316"/>
        <v>29183</v>
      </c>
      <c r="BH76" s="344">
        <f t="shared" si="316"/>
        <v>34017</v>
      </c>
      <c r="BI76" s="182">
        <f t="shared" si="316"/>
        <v>29836</v>
      </c>
      <c r="BJ76" s="182">
        <f t="shared" si="316"/>
        <v>26714</v>
      </c>
      <c r="BK76" s="182">
        <f t="shared" si="316"/>
        <v>26714</v>
      </c>
      <c r="BL76" s="182">
        <f t="shared" ref="BL76:BP76" si="320">+BL10</f>
        <v>36112</v>
      </c>
      <c r="BM76" s="182">
        <f t="shared" si="320"/>
        <v>31266</v>
      </c>
      <c r="BN76" s="182">
        <f t="shared" ref="BN76:BO76" si="321">+BN10</f>
        <v>35307</v>
      </c>
      <c r="BO76" s="182">
        <f t="shared" si="321"/>
        <v>39717</v>
      </c>
      <c r="BP76" s="182">
        <f t="shared" si="320"/>
        <v>39717</v>
      </c>
      <c r="BQ76" s="182">
        <f t="shared" ref="BQ76:BS76" si="322">+BQ10</f>
        <v>39506</v>
      </c>
      <c r="BR76" s="182">
        <f t="shared" si="322"/>
        <v>44266</v>
      </c>
      <c r="BS76" s="182">
        <f t="shared" si="322"/>
        <v>49720</v>
      </c>
      <c r="BT76" s="182">
        <f t="shared" ref="BT76:BU76" si="323">+BT10</f>
        <v>40686</v>
      </c>
      <c r="BU76" s="182">
        <f t="shared" si="323"/>
        <v>40686</v>
      </c>
      <c r="BV76" s="182">
        <f t="shared" ref="BV76:BZ76" si="324">+BV10</f>
        <v>39379.062560000006</v>
      </c>
      <c r="BW76" s="182">
        <f t="shared" si="324"/>
        <v>41192.585480000002</v>
      </c>
      <c r="BX76" s="182">
        <f t="shared" si="324"/>
        <v>53083.714458000002</v>
      </c>
      <c r="BY76" s="182">
        <f t="shared" si="324"/>
        <v>38888.568924275001</v>
      </c>
      <c r="BZ76" s="182">
        <f t="shared" si="324"/>
        <v>38888.568924275001</v>
      </c>
      <c r="CA76" s="182">
        <f t="shared" ref="CA76:CE76" si="325">+CA10</f>
        <v>38069.306051758802</v>
      </c>
      <c r="CB76" s="182">
        <f t="shared" si="325"/>
        <v>43709.558792975629</v>
      </c>
      <c r="CC76" s="182">
        <f t="shared" si="325"/>
        <v>43967.652725585889</v>
      </c>
      <c r="CD76" s="182">
        <f t="shared" si="325"/>
        <v>43267.735160181939</v>
      </c>
      <c r="CE76" s="182">
        <f t="shared" si="325"/>
        <v>43267.735160181939</v>
      </c>
    </row>
    <row r="77" spans="2:83" ht="12.75" hidden="1" outlineLevel="1">
      <c r="B77" s="273"/>
      <c r="C77" s="166"/>
      <c r="D77" s="344"/>
      <c r="E77" s="344"/>
      <c r="F77" s="344"/>
      <c r="G77" s="344"/>
      <c r="H77" s="344"/>
      <c r="I77" s="344"/>
      <c r="J77" s="344"/>
      <c r="K77" s="344"/>
      <c r="L77" s="344"/>
      <c r="M77" s="344"/>
      <c r="N77" s="344"/>
      <c r="O77" s="344"/>
      <c r="P77" s="344"/>
      <c r="Q77" s="344"/>
      <c r="R77" s="344"/>
      <c r="S77" s="344"/>
      <c r="T77" s="344"/>
      <c r="U77" s="344"/>
      <c r="V77" s="344"/>
      <c r="W77" s="344"/>
      <c r="X77" s="344"/>
      <c r="Y77" s="344"/>
      <c r="Z77" s="344"/>
      <c r="AA77" s="344"/>
      <c r="AB77" s="344"/>
      <c r="AC77" s="344"/>
      <c r="AD77" s="344"/>
      <c r="AE77" s="344"/>
      <c r="AF77" s="344"/>
      <c r="AG77" s="344"/>
      <c r="AH77" s="344"/>
      <c r="AI77" s="344"/>
      <c r="AJ77" s="344"/>
      <c r="AK77" s="344"/>
      <c r="AL77" s="344"/>
      <c r="AM77" s="344"/>
      <c r="AN77" s="344"/>
      <c r="AO77" s="344"/>
      <c r="AP77" s="344"/>
      <c r="AQ77" s="344"/>
      <c r="AR77" s="344"/>
      <c r="AS77" s="344"/>
      <c r="AT77" s="344"/>
      <c r="AU77" s="344"/>
      <c r="AV77" s="182"/>
      <c r="AW77" s="344"/>
      <c r="AX77" s="344"/>
      <c r="AY77" s="344"/>
      <c r="AZ77" s="344"/>
      <c r="BA77" s="182"/>
      <c r="BB77" s="344"/>
      <c r="BC77" s="344"/>
      <c r="BD77" s="344"/>
      <c r="BE77" s="344"/>
      <c r="BF77" s="182"/>
      <c r="BG77" s="344"/>
      <c r="BH77" s="344"/>
      <c r="BI77" s="182"/>
      <c r="BJ77" s="182"/>
      <c r="BK77" s="182"/>
      <c r="BL77" s="182"/>
      <c r="BM77" s="182"/>
      <c r="BN77" s="182"/>
      <c r="BO77" s="182"/>
      <c r="BP77" s="182"/>
      <c r="BQ77" s="182"/>
      <c r="BR77" s="182"/>
      <c r="BS77" s="182"/>
      <c r="BT77" s="182"/>
      <c r="BU77" s="182"/>
      <c r="BV77" s="182"/>
      <c r="BW77" s="182"/>
      <c r="BX77" s="182"/>
      <c r="BY77" s="182"/>
      <c r="BZ77" s="182"/>
      <c r="CA77" s="182"/>
      <c r="CB77" s="182"/>
      <c r="CC77" s="182"/>
      <c r="CD77" s="182"/>
      <c r="CE77" s="182"/>
    </row>
    <row r="78" spans="2:83" ht="12.75" collapsed="1">
      <c r="B78" s="273" t="s">
        <v>244</v>
      </c>
      <c r="C78" s="166"/>
      <c r="D78" s="345"/>
      <c r="E78" s="345"/>
      <c r="F78" s="345"/>
      <c r="G78" s="347">
        <f>+G76/(G$59+G$60)</f>
        <v>0.19751805054151628</v>
      </c>
      <c r="H78" s="347">
        <f>+H76/(H$59+H$60)</f>
        <v>5.1516542494968398E-2</v>
      </c>
      <c r="I78" s="345"/>
      <c r="J78" s="345"/>
      <c r="K78" s="345"/>
      <c r="L78" s="347">
        <f t="shared" ref="L78:AD78" si="326">+L76/(L$59+L$60)</f>
        <v>0.17254858575801155</v>
      </c>
      <c r="M78" s="347">
        <f t="shared" si="326"/>
        <v>4.6721319660099653E-2</v>
      </c>
      <c r="N78" s="347">
        <f t="shared" si="326"/>
        <v>0.15404864694113932</v>
      </c>
      <c r="O78" s="347">
        <f t="shared" si="326"/>
        <v>0.19627568493150685</v>
      </c>
      <c r="P78" s="347">
        <f t="shared" si="326"/>
        <v>0.20817017673827917</v>
      </c>
      <c r="Q78" s="347">
        <f t="shared" si="326"/>
        <v>0.22578079064780548</v>
      </c>
      <c r="R78" s="347">
        <f t="shared" si="326"/>
        <v>5.7372366698012885E-2</v>
      </c>
      <c r="S78" s="347">
        <f t="shared" si="326"/>
        <v>0.49365809464074151</v>
      </c>
      <c r="T78" s="347">
        <f t="shared" si="326"/>
        <v>0.42576947288208594</v>
      </c>
      <c r="U78" s="347">
        <f t="shared" si="326"/>
        <v>0.4266923323708694</v>
      </c>
      <c r="V78" s="347">
        <f t="shared" si="326"/>
        <v>0.24880217956346098</v>
      </c>
      <c r="W78" s="347">
        <f t="shared" si="326"/>
        <v>6.5131492654774401E-2</v>
      </c>
      <c r="X78" s="347">
        <f t="shared" si="326"/>
        <v>0.21935559875125168</v>
      </c>
      <c r="Y78" s="347">
        <f t="shared" si="326"/>
        <v>0.20794748883320624</v>
      </c>
      <c r="Z78" s="347">
        <f t="shared" si="326"/>
        <v>0.23938570335382747</v>
      </c>
      <c r="AA78" s="347">
        <f t="shared" si="326"/>
        <v>0.25550982128901162</v>
      </c>
      <c r="AB78" s="347">
        <f t="shared" si="326"/>
        <v>6.6742427851081643E-2</v>
      </c>
      <c r="AC78" s="347">
        <f t="shared" si="326"/>
        <v>0.21984781076021687</v>
      </c>
      <c r="AD78" s="347">
        <f t="shared" si="326"/>
        <v>0.47821613210861819</v>
      </c>
      <c r="AE78" s="347">
        <f t="shared" ref="AE78:AI78" si="327">+AE76/(AE$59+AE$60)</f>
        <v>0.44837302754091934</v>
      </c>
      <c r="AF78" s="347">
        <f t="shared" si="327"/>
        <v>0.37317073170731707</v>
      </c>
      <c r="AG78" s="347">
        <f t="shared" si="327"/>
        <v>9.9499611611900934E-2</v>
      </c>
      <c r="AH78" s="347">
        <f t="shared" si="327"/>
        <v>0.33168433451118962</v>
      </c>
      <c r="AI78" s="347">
        <f t="shared" si="327"/>
        <v>0.33095467291675384</v>
      </c>
      <c r="AJ78" s="347">
        <f t="shared" ref="AJ78:AN78" si="328">+AJ76/(AJ$59+AJ$60)</f>
        <v>0.3621095281662528</v>
      </c>
      <c r="AK78" s="347">
        <f t="shared" si="328"/>
        <v>0.27199470569915912</v>
      </c>
      <c r="AL78" s="347">
        <f t="shared" si="328"/>
        <v>7.287120038797891E-2</v>
      </c>
      <c r="AM78" s="347">
        <f t="shared" si="328"/>
        <v>0.32345060919562707</v>
      </c>
      <c r="AN78" s="347">
        <f t="shared" si="328"/>
        <v>0.37364902614290946</v>
      </c>
      <c r="AO78" s="347">
        <f t="shared" ref="AO78:AS78" si="329">+AO76/(AO$59+AO$60)</f>
        <v>0.40739560724028756</v>
      </c>
      <c r="AP78" s="347">
        <f t="shared" si="329"/>
        <v>0.34698347874512714</v>
      </c>
      <c r="AQ78" s="347">
        <f t="shared" si="329"/>
        <v>9.0243278343447808E-2</v>
      </c>
      <c r="AR78" s="347">
        <f t="shared" si="329"/>
        <v>0.37724385528859433</v>
      </c>
      <c r="AS78" s="347">
        <f t="shared" si="329"/>
        <v>0.46483822911493944</v>
      </c>
      <c r="AT78" s="347">
        <f t="shared" ref="AT78:AU78" si="330">+AT76/(AT$59+AT$60)</f>
        <v>0.41117187642895031</v>
      </c>
      <c r="AU78" s="347">
        <f t="shared" si="330"/>
        <v>0.3264324693042292</v>
      </c>
      <c r="AV78" s="340">
        <f>+AV76/(AV$59+AV$60)</f>
        <v>8.7014628203612956E-2</v>
      </c>
      <c r="AW78" s="347">
        <f t="shared" ref="AW78:AX78" si="331">+AW76/(AW$59+AW$60)</f>
        <v>0.37070151306740029</v>
      </c>
      <c r="AX78" s="347">
        <f t="shared" si="331"/>
        <v>0.36545784074092547</v>
      </c>
      <c r="AY78" s="347">
        <f t="shared" ref="AY78:AZ78" si="332">+AY76/(AY$59+AY$60)</f>
        <v>0.37036018696728074</v>
      </c>
      <c r="AZ78" s="347">
        <f t="shared" si="332"/>
        <v>0.47457326535136335</v>
      </c>
      <c r="BA78" s="340">
        <f>+BA76/(BA$59+BA$60)</f>
        <v>0.12883502040128547</v>
      </c>
      <c r="BB78" s="347">
        <f t="shared" ref="BB78:BC78" si="333">+BB76/(BB$59+BB$60)</f>
        <v>0.40268537194809889</v>
      </c>
      <c r="BC78" s="347">
        <f t="shared" si="333"/>
        <v>0.48148913312949343</v>
      </c>
      <c r="BD78" s="347">
        <f t="shared" ref="BD78:BE78" si="334">+BD76/(BD$59+BD$60)</f>
        <v>0.49931681662326949</v>
      </c>
      <c r="BE78" s="347">
        <f t="shared" si="334"/>
        <v>0.36202434582574522</v>
      </c>
      <c r="BF78" s="340">
        <f>+BF76/(BF$59+BF$60)</f>
        <v>0.10069247738951353</v>
      </c>
      <c r="BG78" s="347">
        <f t="shared" ref="BG78:BM78" si="335">+BG76/(BG$59+BG$60)</f>
        <v>0.37081321473951717</v>
      </c>
      <c r="BH78" s="347">
        <f t="shared" si="335"/>
        <v>0.43833515881708651</v>
      </c>
      <c r="BI78" s="347">
        <f t="shared" si="335"/>
        <v>0.37716004904749262</v>
      </c>
      <c r="BJ78" s="347">
        <f t="shared" si="335"/>
        <v>0.31874097672143276</v>
      </c>
      <c r="BK78" s="340"/>
      <c r="BL78" s="347">
        <f t="shared" si="335"/>
        <v>0.4445046220504425</v>
      </c>
      <c r="BM78" s="347">
        <f t="shared" si="335"/>
        <v>0.37768623992848771</v>
      </c>
      <c r="BN78" s="347">
        <f t="shared" ref="BN78:BO78" si="336">+BN76/(BN$59+BN$60)</f>
        <v>0.40187809458767287</v>
      </c>
      <c r="BO78" s="347">
        <f t="shared" si="336"/>
        <v>0.44898259100158261</v>
      </c>
      <c r="BP78" s="340">
        <f>+BP76/(BP$59+BP$60)</f>
        <v>0.11669835076203433</v>
      </c>
      <c r="BQ78" s="347">
        <f t="shared" ref="BQ78:BT78" si="337">+BQ76/(BQ$59+BQ$60)</f>
        <v>0.44546930675206353</v>
      </c>
      <c r="BR78" s="347">
        <f t="shared" si="337"/>
        <v>0.47106523358518676</v>
      </c>
      <c r="BS78" s="347">
        <f t="shared" si="337"/>
        <v>0.55342215692167274</v>
      </c>
      <c r="BT78" s="347">
        <f t="shared" si="337"/>
        <v>0.42757606011244809</v>
      </c>
      <c r="BU78" s="340">
        <f>+BU76/(BU$59+BU$60)</f>
        <v>0.11066503467972257</v>
      </c>
      <c r="BV78" s="314">
        <v>0.4</v>
      </c>
      <c r="BW78" s="314">
        <v>0.4</v>
      </c>
      <c r="BX78" s="314">
        <v>0.5</v>
      </c>
      <c r="BY78" s="314">
        <v>0.35</v>
      </c>
      <c r="BZ78" s="340">
        <f>+BZ76/(BZ$59+BZ$60)</f>
        <v>9.287781795045516E-2</v>
      </c>
      <c r="CA78" s="314">
        <v>0.35</v>
      </c>
      <c r="CB78" s="314">
        <v>0.4</v>
      </c>
      <c r="CC78" s="314">
        <v>0.4</v>
      </c>
      <c r="CD78" s="314">
        <v>0.39</v>
      </c>
      <c r="CE78" s="340">
        <f>+CE76/(CE$59+CE$60)</f>
        <v>9.8581007676799448E-2</v>
      </c>
    </row>
    <row r="79" spans="2:83" ht="12.75">
      <c r="B79" s="273" t="s">
        <v>128</v>
      </c>
      <c r="C79" s="166"/>
      <c r="D79" s="345"/>
      <c r="E79" s="345"/>
      <c r="F79" s="345"/>
      <c r="G79" s="345"/>
      <c r="H79" s="345"/>
      <c r="I79" s="345"/>
      <c r="J79" s="345"/>
      <c r="K79" s="345"/>
      <c r="L79" s="348">
        <f>+L76/G76-1</f>
        <v>6.8997029929175335E-2</v>
      </c>
      <c r="M79" s="348">
        <f>+M76/H76-1</f>
        <v>6.8997029929175335E-2</v>
      </c>
      <c r="N79" s="348"/>
      <c r="O79" s="348"/>
      <c r="P79" s="348"/>
      <c r="Q79" s="348">
        <f>+Q76/L76-1</f>
        <v>0.39516990810002128</v>
      </c>
      <c r="R79" s="348">
        <f>+R76/M76-1</f>
        <v>0.39516990810002128</v>
      </c>
      <c r="S79" s="348">
        <f t="shared" ref="S79:W79" si="338">+S76/N76-1</f>
        <v>2.2278423331054911</v>
      </c>
      <c r="T79" s="348">
        <f t="shared" si="338"/>
        <v>1.3356961105052707</v>
      </c>
      <c r="U79" s="348">
        <f t="shared" si="338"/>
        <v>1.2538552787663106</v>
      </c>
      <c r="V79" s="348">
        <f t="shared" si="338"/>
        <v>0.21706495098039214</v>
      </c>
      <c r="W79" s="348">
        <f t="shared" si="338"/>
        <v>0.21706495098039214</v>
      </c>
      <c r="X79" s="348">
        <f t="shared" ref="X79" si="339">+X76/S76-1</f>
        <v>-0.47427119361897363</v>
      </c>
      <c r="Y79" s="348">
        <f t="shared" ref="Y79" si="340">+Y76/T76-1</f>
        <v>-0.40588281067621201</v>
      </c>
      <c r="Z79" s="348">
        <f t="shared" ref="Z79" si="341">+Z76/U76-1</f>
        <v>-0.31789473684210523</v>
      </c>
      <c r="AA79" s="348">
        <f t="shared" ref="AA79" si="342">+AA76/V76-1</f>
        <v>0.23448709880427931</v>
      </c>
      <c r="AB79" s="348">
        <f t="shared" ref="AB79" si="343">+AB76/W76-1</f>
        <v>0.23448709880427931</v>
      </c>
      <c r="AC79" s="348">
        <f t="shared" ref="AC79" si="344">+AC76/X76-1</f>
        <v>0.21415145005370562</v>
      </c>
      <c r="AD79" s="348">
        <f t="shared" ref="AD79:AJ79" si="345">+AD76/Y76-1</f>
        <v>1.495743287491814</v>
      </c>
      <c r="AE79" s="348">
        <f t="shared" si="345"/>
        <v>1.0170855379188715</v>
      </c>
      <c r="AF79" s="348">
        <f t="shared" si="345"/>
        <v>0.68474714518760194</v>
      </c>
      <c r="AG79" s="348">
        <f t="shared" si="345"/>
        <v>0.68474714518760194</v>
      </c>
      <c r="AH79" s="348">
        <f t="shared" si="345"/>
        <v>0.71270596041136791</v>
      </c>
      <c r="AI79" s="348">
        <f t="shared" si="345"/>
        <v>-0.17003411178168459</v>
      </c>
      <c r="AJ79" s="348">
        <f t="shared" si="345"/>
        <v>-9.1589704355429236E-2</v>
      </c>
      <c r="AK79" s="348">
        <f t="shared" ref="AK79" si="346">+AK76/AF76-1</f>
        <v>-0.15432098765432101</v>
      </c>
      <c r="AL79" s="348">
        <f t="shared" ref="AL79:BH79" si="347">+AL76/AG76-1</f>
        <v>-0.15432098765432101</v>
      </c>
      <c r="AM79" s="348">
        <f t="shared" si="347"/>
        <v>6.7858987603305776E-2</v>
      </c>
      <c r="AN79" s="348">
        <f t="shared" si="347"/>
        <v>0.22636737274739183</v>
      </c>
      <c r="AO79" s="348">
        <f t="shared" si="347"/>
        <v>0.2307646032605426</v>
      </c>
      <c r="AP79" s="348">
        <f t="shared" si="347"/>
        <v>0.33762702161156444</v>
      </c>
      <c r="AQ79" s="348">
        <f t="shared" si="347"/>
        <v>0.33762702161156444</v>
      </c>
      <c r="AR79" s="348">
        <f t="shared" si="347"/>
        <v>0.23888989660801752</v>
      </c>
      <c r="AS79" s="348">
        <f t="shared" si="347"/>
        <v>0.2548594998711009</v>
      </c>
      <c r="AT79" s="348">
        <f t="shared" si="347"/>
        <v>9.8782931717092737E-2</v>
      </c>
      <c r="AU79" s="348">
        <f t="shared" si="347"/>
        <v>2.4074470361652001E-2</v>
      </c>
      <c r="AV79" s="306">
        <f t="shared" ref="AV79" si="348">+AV76/AQ76-1</f>
        <v>2.4074470361652001E-2</v>
      </c>
      <c r="AW79" s="348">
        <f t="shared" si="347"/>
        <v>7.8526110297706175E-2</v>
      </c>
      <c r="AX79" s="348">
        <f t="shared" si="347"/>
        <v>-9.6926616813213906E-2</v>
      </c>
      <c r="AY79" s="348">
        <f t="shared" si="347"/>
        <v>1.8638790035587105E-2</v>
      </c>
      <c r="AZ79" s="348">
        <f t="shared" si="347"/>
        <v>0.67756765228293814</v>
      </c>
      <c r="BA79" s="306">
        <f t="shared" ref="BA79" si="349">+BA76/AV76-1</f>
        <v>0.67756765228293814</v>
      </c>
      <c r="BB79" s="348">
        <f t="shared" si="347"/>
        <v>0.21055251368840211</v>
      </c>
      <c r="BC79" s="348">
        <f t="shared" si="347"/>
        <v>0.59056371991446377</v>
      </c>
      <c r="BD79" s="348">
        <f t="shared" si="347"/>
        <v>0.69160225337350978</v>
      </c>
      <c r="BE79" s="348">
        <f t="shared" si="347"/>
        <v>-5.9043348281016428E-2</v>
      </c>
      <c r="BF79" s="306">
        <f t="shared" ref="BF79" si="350">+BF76/BA76-1</f>
        <v>-5.9043348281016428E-2</v>
      </c>
      <c r="BG79" s="348">
        <f t="shared" si="347"/>
        <v>9.0871710526315708E-2</v>
      </c>
      <c r="BH79" s="348">
        <f t="shared" si="347"/>
        <v>-2.6945850853857367E-2</v>
      </c>
      <c r="BI79" s="306">
        <f t="shared" ref="BI79" si="351">+BI76/BD76-1</f>
        <v>-0.229760429574556</v>
      </c>
      <c r="BJ79" s="306">
        <f t="shared" ref="BJ79" si="352">+BJ76/BE76-1</f>
        <v>-0.11589886153031503</v>
      </c>
      <c r="BK79" s="306"/>
      <c r="BL79" s="306">
        <f t="shared" ref="BL79" si="353">+BL76/BG76-1</f>
        <v>0.23743275194462532</v>
      </c>
      <c r="BM79" s="306">
        <f t="shared" ref="BM79:BO79" si="354">+BM76/BH76-1</f>
        <v>-8.0871329041361628E-2</v>
      </c>
      <c r="BN79" s="306">
        <f t="shared" si="354"/>
        <v>0.18336908432765786</v>
      </c>
      <c r="BO79" s="306">
        <f t="shared" si="354"/>
        <v>0.48674852137456015</v>
      </c>
      <c r="BP79" s="306">
        <f t="shared" ref="BP79:BS79" si="355">+BP76/BK76-1</f>
        <v>0.48674852137456015</v>
      </c>
      <c r="BQ79" s="306">
        <f t="shared" si="355"/>
        <v>9.3985378821444421E-2</v>
      </c>
      <c r="BR79" s="306">
        <f t="shared" si="355"/>
        <v>0.41578711699609805</v>
      </c>
      <c r="BS79" s="306">
        <f t="shared" si="355"/>
        <v>0.40821933327668725</v>
      </c>
      <c r="BT79" s="306">
        <f t="shared" ref="BT79" si="356">+BT76/BO76-1</f>
        <v>2.4397613112772776E-2</v>
      </c>
      <c r="BU79" s="306">
        <f t="shared" ref="BU79" si="357">+BU76/BP76-1</f>
        <v>2.4397613112772776E-2</v>
      </c>
      <c r="BV79" s="306">
        <f t="shared" ref="BV79" si="358">+BV76/BQ76-1</f>
        <v>-3.2131180073911025E-3</v>
      </c>
      <c r="BW79" s="306">
        <f t="shared" ref="BW79" si="359">+BW76/BR76-1</f>
        <v>-6.9430590520941582E-2</v>
      </c>
      <c r="BX79" s="306">
        <f t="shared" ref="BX79" si="360">+BX76/BS76-1</f>
        <v>6.7653146781979201E-2</v>
      </c>
      <c r="BY79" s="306">
        <f t="shared" ref="BY79" si="361">+BY76/BT76-1</f>
        <v>-4.4178122099124972E-2</v>
      </c>
      <c r="BZ79" s="306">
        <f t="shared" ref="BZ79" si="362">+BZ76/BU76-1</f>
        <v>-4.4178122099124972E-2</v>
      </c>
      <c r="CA79" s="306">
        <f t="shared" ref="CA79" si="363">+CA76/BV76-1</f>
        <v>-3.3260225690888157E-2</v>
      </c>
      <c r="CB79" s="306">
        <f t="shared" ref="CB79" si="364">+CB76/BW76-1</f>
        <v>6.1102581536128131E-2</v>
      </c>
      <c r="CC79" s="306">
        <f t="shared" ref="CC79" si="365">+CC76/BX76-1</f>
        <v>-0.17172991425885931</v>
      </c>
      <c r="CD79" s="306">
        <f t="shared" ref="CD79" si="366">+CD76/BY76-1</f>
        <v>0.11260805828144993</v>
      </c>
      <c r="CE79" s="306">
        <f t="shared" ref="CE79" si="367">+CE76/BZ76-1</f>
        <v>0.11260805828144993</v>
      </c>
    </row>
    <row r="80" spans="2:83" ht="12.75">
      <c r="B80" s="273" t="s">
        <v>129</v>
      </c>
      <c r="C80" s="166"/>
      <c r="D80" s="345"/>
      <c r="E80" s="345"/>
      <c r="F80" s="345"/>
      <c r="G80" s="345"/>
      <c r="H80" s="345"/>
      <c r="I80" s="345"/>
      <c r="J80" s="345"/>
      <c r="K80" s="345"/>
      <c r="L80" s="345"/>
      <c r="M80" s="345"/>
      <c r="N80" s="348">
        <f>+N76/L76-1</f>
        <v>-6.1979055353708068E-2</v>
      </c>
      <c r="O80" s="348">
        <f>+O76/N76-1</f>
        <v>0.25358851674641159</v>
      </c>
      <c r="P80" s="348">
        <f t="shared" ref="P80:Q80" si="368">+P76/O76-1</f>
        <v>7.2519083969465603E-2</v>
      </c>
      <c r="Q80" s="348">
        <f t="shared" si="368"/>
        <v>0.10625317742755458</v>
      </c>
      <c r="R80" s="345"/>
      <c r="S80" s="348">
        <f>+S76/Q76-1</f>
        <v>1.1701899509803924</v>
      </c>
      <c r="T80" s="348">
        <f>+T76/S76-1</f>
        <v>-9.2891931954542262E-2</v>
      </c>
      <c r="U80" s="348">
        <f t="shared" ref="U80:V80" si="369">+U76/T76-1</f>
        <v>3.4938915259512981E-2</v>
      </c>
      <c r="V80" s="348">
        <f t="shared" si="369"/>
        <v>-0.40263157894736845</v>
      </c>
      <c r="W80" s="345"/>
      <c r="X80" s="348">
        <f>+X76/V76-1</f>
        <v>-6.2555066079295174E-2</v>
      </c>
      <c r="Y80" s="348">
        <f>+Y76/X76-1</f>
        <v>2.5107411385606904E-2</v>
      </c>
      <c r="Z80" s="348">
        <f t="shared" ref="Z80:AA80" si="370">+Z76/Y76-1</f>
        <v>0.18821218074656199</v>
      </c>
      <c r="AA80" s="348">
        <f t="shared" si="370"/>
        <v>8.1128747795414569E-2</v>
      </c>
      <c r="AB80" s="345"/>
      <c r="AC80" s="348">
        <f>+AC76/AA76-1</f>
        <v>-7.7997553017944532E-2</v>
      </c>
      <c r="AD80" s="348">
        <f>+AD76/AC76-1</f>
        <v>1.1071547052969146</v>
      </c>
      <c r="AE80" s="348">
        <f>+AE76/AD76-1</f>
        <v>-3.9674626082393027E-2</v>
      </c>
      <c r="AF80" s="348">
        <f>+AF76/AE76-1</f>
        <v>-9.6999836056615107E-2</v>
      </c>
      <c r="AG80" s="345"/>
      <c r="AH80" s="348">
        <f>+AH76/AF76-1</f>
        <v>-6.269668361171632E-2</v>
      </c>
      <c r="AI80" s="348">
        <f>+AI76/AH76-1</f>
        <v>2.1113119834710758E-2</v>
      </c>
      <c r="AJ80" s="348">
        <f>+AJ76/AI76-1</f>
        <v>5.1090736642428025E-2</v>
      </c>
      <c r="AK80" s="348">
        <f>+AK76/AJ76-1</f>
        <v>-0.15935751669373754</v>
      </c>
      <c r="AL80" s="345"/>
      <c r="AM80" s="348">
        <f>+AM76/AK76-1</f>
        <v>0.18355517389437526</v>
      </c>
      <c r="AN80" s="348">
        <f>+AN76/AM76-1</f>
        <v>0.17268274986395782</v>
      </c>
      <c r="AO80" s="348">
        <f>+AO76/AN76-1</f>
        <v>5.4859499871100725E-2</v>
      </c>
      <c r="AP80" s="348">
        <f>+AP76/AO76-1</f>
        <v>-8.6367857666552639E-2</v>
      </c>
      <c r="AQ80" s="345"/>
      <c r="AR80" s="348">
        <f>+AR76/AP76-1</f>
        <v>9.6190883800556293E-2</v>
      </c>
      <c r="AS80" s="348">
        <f>+AS76/AR76-1</f>
        <v>0.18779892630551487</v>
      </c>
      <c r="AT80" s="348">
        <f>+AT76/AS76-1</f>
        <v>-7.6341523543430045E-2</v>
      </c>
      <c r="AU80" s="348">
        <f>+AU76/AT76-1</f>
        <v>-0.14848754448398571</v>
      </c>
      <c r="AV80" s="166"/>
      <c r="AW80" s="348">
        <f>+AW76/AU76-1</f>
        <v>0.15447706613728962</v>
      </c>
      <c r="AX80" s="306">
        <f>+AX76/AW76-1</f>
        <v>-5.4301099597267033E-3</v>
      </c>
      <c r="AY80" s="306">
        <f>+AY76/AX76-1</f>
        <v>4.1858137312889676E-2</v>
      </c>
      <c r="AZ80" s="306">
        <f>+AZ76/AY76-1</f>
        <v>0.40233197956242628</v>
      </c>
      <c r="BA80" s="166"/>
      <c r="BB80" s="348">
        <f>+BB76/AZ76-1</f>
        <v>-0.16691579471848528</v>
      </c>
      <c r="BC80" s="306">
        <f>+BC76/BB76-1</f>
        <v>0.30678080143540676</v>
      </c>
      <c r="BD80" s="306">
        <f>+BD76/BC76-1</f>
        <v>0.10804084785033896</v>
      </c>
      <c r="BE80" s="306">
        <f>+BE76/BD76-1</f>
        <v>-0.21995043370508049</v>
      </c>
      <c r="BF80" s="166"/>
      <c r="BG80" s="348">
        <f>+BG76/BE76-1</f>
        <v>-3.4187185597034708E-2</v>
      </c>
      <c r="BH80" s="306">
        <f>+BH76/BG76-1</f>
        <v>0.16564438200322096</v>
      </c>
      <c r="BI80" s="306">
        <f t="shared" ref="BI80" si="371">+BI76/BH76-1</f>
        <v>-0.1229091336684599</v>
      </c>
      <c r="BJ80" s="306">
        <f t="shared" ref="BJ80" si="372">+BJ76/BI76-1</f>
        <v>-0.10463869151360772</v>
      </c>
      <c r="BK80" s="166"/>
      <c r="BL80" s="306">
        <f>+BL76/BJ76-1</f>
        <v>0.35180055401662047</v>
      </c>
      <c r="BM80" s="306">
        <f>+BM76/BL76-1</f>
        <v>-0.13419361984935751</v>
      </c>
      <c r="BN80" s="306">
        <f>+BN76/BM76-1</f>
        <v>0.12924582613701774</v>
      </c>
      <c r="BO80" s="306">
        <f>+BO76/BN76-1</f>
        <v>0.12490440989038998</v>
      </c>
      <c r="BP80" s="166"/>
      <c r="BQ80" s="306">
        <f>+BQ76/BO76-1</f>
        <v>-5.3125865498401259E-3</v>
      </c>
      <c r="BR80" s="306">
        <f>+BR76/BQ76-1</f>
        <v>0.12048802713511875</v>
      </c>
      <c r="BS80" s="306">
        <f>+BS76/BR76-1</f>
        <v>0.12320968689287493</v>
      </c>
      <c r="BT80" s="306">
        <f t="shared" ref="BT80" si="373">+BT76/BS76-1</f>
        <v>-0.1816975060337892</v>
      </c>
      <c r="BU80" s="166"/>
      <c r="BV80" s="306">
        <f>+BV76/BT76-1</f>
        <v>-3.2122534532762925E-2</v>
      </c>
      <c r="BW80" s="306">
        <f>+BW76/BV76-1</f>
        <v>4.6052973384950846E-2</v>
      </c>
      <c r="BX80" s="306">
        <f t="shared" ref="BX80" si="374">+BX76/BW76-1</f>
        <v>0.28867158590405628</v>
      </c>
      <c r="BY80" s="306">
        <f t="shared" ref="BY80" si="375">+BY76/BX76-1</f>
        <v>-0.26741055479371634</v>
      </c>
      <c r="BZ80" s="166"/>
      <c r="CA80" s="306">
        <f>+CA76/BY76-1</f>
        <v>-2.1066932910580816E-2</v>
      </c>
      <c r="CB80" s="306">
        <f>+CB76/CA76-1</f>
        <v>0.14815748765024428</v>
      </c>
      <c r="CC80" s="306">
        <f t="shared" ref="CC80" si="376">+CC76/CB76-1</f>
        <v>5.9047480628364735E-3</v>
      </c>
      <c r="CD80" s="306">
        <f t="shared" ref="CD80" si="377">+CD76/CC76-1</f>
        <v>-1.5918920433900086E-2</v>
      </c>
      <c r="CE80" s="166"/>
    </row>
    <row r="81" spans="2:83" ht="13.35" customHeight="1">
      <c r="B81" s="166"/>
      <c r="C81" s="315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  <c r="AA81" s="351"/>
      <c r="AB81" s="351"/>
      <c r="AC81" s="351"/>
      <c r="AD81" s="351"/>
      <c r="AE81" s="351"/>
      <c r="AF81" s="351"/>
      <c r="AG81" s="351"/>
      <c r="AH81" s="351"/>
      <c r="AI81" s="351"/>
      <c r="AJ81" s="351"/>
      <c r="AK81" s="351"/>
      <c r="AL81" s="351"/>
      <c r="AM81" s="351"/>
      <c r="AN81" s="351"/>
      <c r="AO81" s="351"/>
      <c r="AP81" s="351"/>
      <c r="AQ81" s="351"/>
      <c r="AR81" s="351"/>
      <c r="AS81" s="351"/>
      <c r="AT81" s="351"/>
      <c r="AU81" s="351"/>
      <c r="AV81" s="315"/>
      <c r="AW81" s="315"/>
      <c r="AX81" s="315"/>
      <c r="AY81" s="315"/>
      <c r="AZ81" s="315"/>
      <c r="BA81" s="315"/>
      <c r="BB81" s="315"/>
      <c r="BC81" s="315"/>
      <c r="BD81" s="315"/>
      <c r="BE81" s="315"/>
      <c r="BF81" s="315"/>
      <c r="BG81" s="315"/>
      <c r="BH81" s="315"/>
      <c r="BI81" s="315"/>
      <c r="BJ81" s="315"/>
      <c r="BK81" s="315"/>
      <c r="BL81" s="315"/>
      <c r="BM81" s="315"/>
      <c r="BN81" s="315"/>
      <c r="BO81" s="315"/>
      <c r="BP81" s="315"/>
      <c r="BQ81" s="315"/>
      <c r="BR81" s="315"/>
      <c r="BS81" s="315"/>
      <c r="BT81" s="315"/>
      <c r="BU81" s="315"/>
      <c r="BV81" s="315"/>
      <c r="BW81" s="315"/>
      <c r="BX81" s="315"/>
      <c r="BY81" s="315"/>
      <c r="BZ81" s="315"/>
      <c r="CA81" s="315"/>
      <c r="CB81" s="315"/>
      <c r="CC81" s="315"/>
      <c r="CD81" s="315"/>
      <c r="CE81" s="315"/>
    </row>
    <row r="82" spans="2:83" ht="13.35" customHeight="1">
      <c r="B82" s="294" t="s">
        <v>249</v>
      </c>
      <c r="C82" s="315"/>
      <c r="D82" s="351"/>
      <c r="E82" s="351"/>
      <c r="F82" s="351"/>
      <c r="G82" s="378">
        <v>16896</v>
      </c>
      <c r="H82" s="378">
        <v>13861</v>
      </c>
      <c r="I82" s="351">
        <f>+G15</f>
        <v>18148</v>
      </c>
      <c r="J82" s="351">
        <f>+I90</f>
        <v>19787</v>
      </c>
      <c r="K82" s="351">
        <f>+J90</f>
        <v>0</v>
      </c>
      <c r="L82" s="351">
        <f>+K90</f>
        <v>0</v>
      </c>
      <c r="M82" s="351">
        <f>+H15</f>
        <v>18148</v>
      </c>
      <c r="N82" s="351">
        <f>+L15</f>
        <v>23075</v>
      </c>
      <c r="O82" s="351">
        <f>+N15</f>
        <v>24169</v>
      </c>
      <c r="P82" s="351">
        <f>+O15</f>
        <v>24012</v>
      </c>
      <c r="Q82" s="351">
        <f>+P15</f>
        <v>24776</v>
      </c>
      <c r="R82" s="351">
        <f>+M15</f>
        <v>23075</v>
      </c>
      <c r="S82" s="351">
        <f>+Q15</f>
        <v>26618</v>
      </c>
      <c r="T82" s="351">
        <f>+S15</f>
        <v>28279</v>
      </c>
      <c r="U82" s="351">
        <f>+T15</f>
        <v>29238</v>
      </c>
      <c r="V82" s="351">
        <f>+U15</f>
        <v>29965</v>
      </c>
      <c r="W82" s="351">
        <f>+R15</f>
        <v>26618</v>
      </c>
      <c r="X82" s="351">
        <f>+V15</f>
        <v>31329</v>
      </c>
      <c r="Y82" s="351">
        <f>+X15</f>
        <v>31786</v>
      </c>
      <c r="Z82" s="351">
        <f>+Y15</f>
        <v>40025</v>
      </c>
      <c r="AA82" s="351">
        <f>+Z15</f>
        <v>40670</v>
      </c>
      <c r="AB82" s="351">
        <f>+W15</f>
        <v>31329</v>
      </c>
      <c r="AC82" s="351">
        <f>+AA15</f>
        <v>39401</v>
      </c>
      <c r="AD82" s="351">
        <f>+AC15</f>
        <v>40823</v>
      </c>
      <c r="AE82" s="351">
        <f>+AD15</f>
        <v>42768</v>
      </c>
      <c r="AF82" s="351">
        <f>+AE15</f>
        <v>51281</v>
      </c>
      <c r="AG82" s="351">
        <f>+AB15</f>
        <v>39401</v>
      </c>
      <c r="AH82" s="351">
        <f>+AF15</f>
        <v>58557</v>
      </c>
      <c r="AI82" s="351">
        <f>+AH15</f>
        <v>60696</v>
      </c>
      <c r="AJ82" s="351">
        <f>+AI15</f>
        <v>64973</v>
      </c>
      <c r="AK82" s="351">
        <f>+AJ15</f>
        <v>64503</v>
      </c>
      <c r="AL82" s="351">
        <f>+AG15</f>
        <v>58557</v>
      </c>
      <c r="AM82" s="351">
        <f>+AK15</f>
        <v>61442</v>
      </c>
      <c r="AN82" s="351">
        <f>+AM15</f>
        <v>60486</v>
      </c>
      <c r="AO82" s="351">
        <f>+AN15</f>
        <v>59359</v>
      </c>
      <c r="AP82" s="351">
        <f>+AO15</f>
        <v>58705</v>
      </c>
      <c r="AQ82" s="351">
        <f>+AL15</f>
        <v>61442</v>
      </c>
      <c r="AR82" s="351">
        <f>+AP15</f>
        <v>60579</v>
      </c>
      <c r="AS82" s="351">
        <f>+AR15</f>
        <v>61665</v>
      </c>
      <c r="AT82" s="351">
        <f>+AS15</f>
        <v>63098</v>
      </c>
      <c r="AU82" s="351">
        <f>+AT15</f>
        <v>67574</v>
      </c>
      <c r="AV82" s="354">
        <f>+AQ15</f>
        <v>60579</v>
      </c>
      <c r="AW82" s="354">
        <f>+AU15</f>
        <v>64850</v>
      </c>
      <c r="AX82" s="354">
        <f>+AV15</f>
        <v>64850</v>
      </c>
      <c r="AY82" s="354">
        <f>+AW15</f>
        <v>64143</v>
      </c>
      <c r="AZ82" s="354">
        <f>+AX15</f>
        <v>65959</v>
      </c>
      <c r="BA82" s="354">
        <f>+AV15</f>
        <v>64850</v>
      </c>
      <c r="BB82" s="354">
        <f>+AZ15</f>
        <v>61854</v>
      </c>
      <c r="BC82" s="354">
        <f>+BA15</f>
        <v>61854</v>
      </c>
      <c r="BD82" s="354">
        <f>+BB15</f>
        <v>63377</v>
      </c>
      <c r="BE82" s="354">
        <f>+BC15</f>
        <v>57830</v>
      </c>
      <c r="BF82" s="354">
        <f>+BA15</f>
        <v>61854</v>
      </c>
      <c r="BG82" s="354">
        <f>+BE15</f>
        <v>47428</v>
      </c>
      <c r="BH82" s="354">
        <f>+BF15</f>
        <v>47428</v>
      </c>
      <c r="BI82" s="354">
        <f>+BH15</f>
        <v>40350</v>
      </c>
      <c r="BJ82" s="354">
        <f>+BI15</f>
        <v>36160</v>
      </c>
      <c r="BK82" s="354">
        <f>+BF15</f>
        <v>47428</v>
      </c>
      <c r="BL82" s="354">
        <f>+BJ15</f>
        <v>32599</v>
      </c>
      <c r="BM82" s="354">
        <f>+BL15</f>
        <v>30191</v>
      </c>
      <c r="BN82" s="354">
        <f>+BM15</f>
        <v>27758</v>
      </c>
      <c r="BO82" s="354">
        <f>+BN15</f>
        <v>27343</v>
      </c>
      <c r="BP82" s="354">
        <f>+BK15</f>
        <v>32599</v>
      </c>
      <c r="BQ82" s="354">
        <f>+BO15</f>
        <v>30349</v>
      </c>
      <c r="BR82" s="354">
        <f>+BQ15</f>
        <v>28250</v>
      </c>
      <c r="BS82" s="354">
        <f>+BR15</f>
        <v>26162</v>
      </c>
      <c r="BT82" s="354">
        <f>+BS15</f>
        <v>24792</v>
      </c>
      <c r="BU82" s="354">
        <f>+BP15</f>
        <v>30349</v>
      </c>
      <c r="BV82" s="354">
        <f>+BT15</f>
        <v>23166</v>
      </c>
      <c r="BW82" s="354">
        <f>+BV15</f>
        <v>21599.494564999997</v>
      </c>
      <c r="BX82" s="354">
        <f>+BW15</f>
        <v>21017.37478025</v>
      </c>
      <c r="BY82" s="354">
        <f>+BX15</f>
        <v>21654.984552225</v>
      </c>
      <c r="BZ82" s="354">
        <f>+BU15</f>
        <v>23166</v>
      </c>
      <c r="CA82" s="354">
        <f>+BY15</f>
        <v>22302.762197002499</v>
      </c>
      <c r="CB82" s="354">
        <f>+CA15</f>
        <v>20831.044349452124</v>
      </c>
      <c r="CC82" s="354">
        <f>+CB15</f>
        <v>19602.288169034306</v>
      </c>
      <c r="CD82" s="354">
        <f>+CC15</f>
        <v>19185.818978750191</v>
      </c>
      <c r="CE82" s="354">
        <f>+BZ15</f>
        <v>22302.762197002499</v>
      </c>
    </row>
    <row r="83" spans="2:83" ht="13.35" customHeight="1">
      <c r="B83" s="166" t="s">
        <v>250</v>
      </c>
      <c r="C83" s="315"/>
      <c r="D83" s="378">
        <v>2927</v>
      </c>
      <c r="E83" s="378">
        <f>5989-D83</f>
        <v>3062</v>
      </c>
      <c r="F83" s="378">
        <v>8104</v>
      </c>
      <c r="G83" s="351">
        <f>+H83-SUM(D83:F83)</f>
        <v>-2905</v>
      </c>
      <c r="H83" s="351">
        <f>+CF!H32*-1</f>
        <v>11188</v>
      </c>
      <c r="I83" s="378">
        <v>3650</v>
      </c>
      <c r="J83" s="378">
        <f>6238-I83</f>
        <v>2588</v>
      </c>
      <c r="K83" s="351"/>
      <c r="L83" s="351">
        <f>+CF!L32*-1</f>
        <v>0</v>
      </c>
      <c r="M83" s="351">
        <f>+CF!M32*-1</f>
        <v>13663</v>
      </c>
      <c r="N83" s="351">
        <f>+CF!N32*-1</f>
        <v>3778</v>
      </c>
      <c r="O83" s="351">
        <f>+CF!O32*-1</f>
        <v>2717</v>
      </c>
      <c r="P83" s="351">
        <f>+CF!P32*-1</f>
        <v>3757</v>
      </c>
      <c r="Q83" s="351">
        <f>+CF!Q32*-1</f>
        <v>3662</v>
      </c>
      <c r="R83" s="351">
        <f>+CF!R32*-1</f>
        <v>13914</v>
      </c>
      <c r="S83" s="351">
        <f>+CF!S32*-1</f>
        <v>6148</v>
      </c>
      <c r="T83" s="351">
        <f>+CF!T32*-1</f>
        <v>4259</v>
      </c>
      <c r="U83" s="351">
        <f>+CF!U32*-1</f>
        <v>4458</v>
      </c>
      <c r="V83" s="351">
        <f>+CF!V32*-1</f>
        <v>5186</v>
      </c>
      <c r="W83" s="351">
        <f>+CF!W32*-1</f>
        <v>20051</v>
      </c>
      <c r="X83" s="351">
        <f>+CF!X32*-1</f>
        <v>4181</v>
      </c>
      <c r="Y83" s="351">
        <f>+CF!Y32*-1</f>
        <v>4785</v>
      </c>
      <c r="Z83" s="351">
        <f>+CF!Z32*-1</f>
        <v>9843</v>
      </c>
      <c r="AA83" s="351">
        <f>+CF!AA32*-1</f>
        <v>4436</v>
      </c>
      <c r="AB83" s="351">
        <f>+CF!AB32*-1</f>
        <v>23245</v>
      </c>
      <c r="AC83" s="351">
        <f>+CF!AC32*-1</f>
        <v>4543</v>
      </c>
      <c r="AD83" s="351">
        <f>+CF!AD32*-1</f>
        <v>8636</v>
      </c>
      <c r="AE83" s="351">
        <f>+CF!AE32*-1</f>
        <v>13433</v>
      </c>
      <c r="AF83" s="351">
        <f>+CF!AF32*-1</f>
        <v>11206</v>
      </c>
      <c r="AG83" s="351">
        <f>+CF!AG32*-1</f>
        <v>37818</v>
      </c>
      <c r="AH83" s="351">
        <f>+CF!AH32*-1</f>
        <v>5985</v>
      </c>
      <c r="AI83" s="351">
        <f>+CF!AI32*-1</f>
        <v>7255</v>
      </c>
      <c r="AJ83" s="351">
        <f>+CF!AJ32*-1</f>
        <v>6256</v>
      </c>
      <c r="AK83" s="351">
        <f>+CF!AK32*-1</f>
        <v>5616</v>
      </c>
      <c r="AL83" s="351">
        <f>+CF!AL32*-1</f>
        <v>25112</v>
      </c>
      <c r="AM83" s="351">
        <f>+CF!AM32*-1</f>
        <v>8608</v>
      </c>
      <c r="AN83" s="351">
        <f>+CF!AN32*-1</f>
        <v>5530</v>
      </c>
      <c r="AO83" s="351">
        <f>+CF!AO32*-1</f>
        <v>5335</v>
      </c>
      <c r="AP83" s="351">
        <f>+CF!AP32*-1</f>
        <v>8100</v>
      </c>
      <c r="AQ83" s="351">
        <f>+CF!AQ32*-1</f>
        <v>27573</v>
      </c>
      <c r="AR83" s="351">
        <f>+CF!AR32*-1</f>
        <v>7271</v>
      </c>
      <c r="AS83" s="351">
        <f>+CF!AS32*-1</f>
        <v>4297</v>
      </c>
      <c r="AT83" s="351">
        <f>+CF!AT32*-1</f>
        <v>11174</v>
      </c>
      <c r="AU83" s="351">
        <f>+CF!AU32*-1</f>
        <v>7295</v>
      </c>
      <c r="AV83" s="354">
        <f>+SUM(AR83:AU83)</f>
        <v>30037</v>
      </c>
      <c r="AW83" s="351">
        <f>+CF!AW32*-1</f>
        <v>6259</v>
      </c>
      <c r="AX83" s="351">
        <f>+CF!AX32*-1</f>
        <v>6652</v>
      </c>
      <c r="AY83" s="351">
        <f>+CF!AY32*-1</f>
        <v>7178</v>
      </c>
      <c r="AZ83" s="351">
        <f>+CF!AZ32*-1</f>
        <v>4335</v>
      </c>
      <c r="BA83" s="354">
        <f>+SUM(AW83:AZ83)</f>
        <v>24424</v>
      </c>
      <c r="BB83" s="351">
        <f>+CF!BB32*-1</f>
        <v>7639</v>
      </c>
      <c r="BC83" s="351">
        <f>+CF!BC32*-1</f>
        <v>3511</v>
      </c>
      <c r="BD83" s="351">
        <f>+CF!BD32*-1</f>
        <v>1241</v>
      </c>
      <c r="BE83" s="351">
        <f>+CF!BE32*-1</f>
        <v>2970</v>
      </c>
      <c r="BF83" s="354">
        <f>+SUM(BB83:BE83)</f>
        <v>15361</v>
      </c>
      <c r="BG83" s="351">
        <f>+CF!BG32*-1</f>
        <v>4037</v>
      </c>
      <c r="BH83" s="351">
        <f>+CF!BH32*-1</f>
        <v>1418</v>
      </c>
      <c r="BI83" s="351">
        <f>+CF!BI32*-1</f>
        <v>1808</v>
      </c>
      <c r="BJ83" s="351">
        <f>+CF!BJ32*-1</f>
        <v>1523</v>
      </c>
      <c r="BK83" s="354">
        <f>+SUM(BG83:BJ83)</f>
        <v>8786</v>
      </c>
      <c r="BL83" s="351">
        <f>+CF!BL32*-1</f>
        <v>2051</v>
      </c>
      <c r="BM83" s="351">
        <f>+CF!BM32*-1</f>
        <v>1026</v>
      </c>
      <c r="BN83" s="351">
        <f>+CF!BN32*-1</f>
        <v>3420</v>
      </c>
      <c r="BO83" s="351">
        <f>+CF!BO32*-1</f>
        <v>5837</v>
      </c>
      <c r="BP83" s="354">
        <f>+SUM(BL83:BO83)</f>
        <v>12334</v>
      </c>
      <c r="BQ83" s="351">
        <f>+CF!BQ32*-1</f>
        <v>2038</v>
      </c>
      <c r="BR83" s="351">
        <f>+CF!BR32*-1</f>
        <v>1327</v>
      </c>
      <c r="BS83" s="351">
        <f>+CF!BS32*-1</f>
        <v>901</v>
      </c>
      <c r="BT83" s="351">
        <f>+CF!BT32*-1</f>
        <v>724</v>
      </c>
      <c r="BU83" s="354">
        <f>+SUM(BQ83:BT83)</f>
        <v>4990</v>
      </c>
      <c r="BV83" s="354">
        <f t="shared" ref="BV83:BY83" si="378">+BV85*BV$58</f>
        <v>1908.3945650000001</v>
      </c>
      <c r="BW83" s="354">
        <f t="shared" si="378"/>
        <v>2657.8044000000004</v>
      </c>
      <c r="BX83" s="354">
        <f t="shared" si="378"/>
        <v>2739.3472499999998</v>
      </c>
      <c r="BY83" s="354">
        <f t="shared" si="378"/>
        <v>2813.2761</v>
      </c>
      <c r="BZ83" s="354">
        <f>+SUM(BV83:BY83)</f>
        <v>10118.822315000001</v>
      </c>
      <c r="CA83" s="354">
        <f t="shared" ref="CA83:CD83" si="379">+CA85*CA$58</f>
        <v>1873.6964820000003</v>
      </c>
      <c r="CB83" s="354">
        <f t="shared" si="379"/>
        <v>1895.9004720000003</v>
      </c>
      <c r="CC83" s="354">
        <f t="shared" si="379"/>
        <v>1935.80539</v>
      </c>
      <c r="CD83" s="354">
        <f t="shared" si="379"/>
        <v>1988.0484440000002</v>
      </c>
      <c r="CE83" s="354">
        <f>+SUM(CA83:CD83)</f>
        <v>7693.4507880000001</v>
      </c>
    </row>
    <row r="84" spans="2:83" ht="13.35" hidden="1" customHeight="1" outlineLevel="1">
      <c r="B84" s="166"/>
      <c r="C84" s="315"/>
      <c r="D84" s="378"/>
      <c r="E84" s="378"/>
      <c r="F84" s="378"/>
      <c r="G84" s="351"/>
      <c r="H84" s="351"/>
      <c r="I84" s="378"/>
      <c r="J84" s="378"/>
      <c r="K84" s="351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  <c r="AA84" s="351"/>
      <c r="AB84" s="351"/>
      <c r="AC84" s="351"/>
      <c r="AD84" s="351"/>
      <c r="AE84" s="351"/>
      <c r="AF84" s="351"/>
      <c r="AG84" s="351"/>
      <c r="AH84" s="351"/>
      <c r="AI84" s="351"/>
      <c r="AJ84" s="351"/>
      <c r="AK84" s="351"/>
      <c r="AL84" s="351"/>
      <c r="AM84" s="351"/>
      <c r="AN84" s="351"/>
      <c r="AO84" s="351"/>
      <c r="AP84" s="351"/>
      <c r="AQ84" s="351"/>
      <c r="AR84" s="351"/>
      <c r="AS84" s="351"/>
      <c r="AT84" s="351"/>
      <c r="AU84" s="351"/>
      <c r="AV84" s="179" t="e">
        <f ca="1">_xll.FDS(+IS!$B$1,"FE_ESTIMATE(CAPEX,MEAN,ANNUAL,"&amp;IS!AV$74&amp;",NOW,,,'')")*1000*-1</f>
        <v>#NAME?</v>
      </c>
      <c r="AW84" s="351"/>
      <c r="AX84" s="351"/>
      <c r="AY84" s="351"/>
      <c r="AZ84" s="351"/>
      <c r="BA84" s="179"/>
      <c r="BB84" s="351"/>
      <c r="BC84" s="351"/>
      <c r="BD84" s="351"/>
      <c r="BE84" s="351"/>
      <c r="BF84" s="179"/>
      <c r="BG84" s="351"/>
      <c r="BH84" s="351"/>
      <c r="BI84" s="179"/>
      <c r="BJ84" s="179"/>
      <c r="BK84" s="179"/>
      <c r="BL84" s="179"/>
      <c r="BM84" s="179"/>
      <c r="BN84" s="179"/>
      <c r="BO84" s="179"/>
      <c r="BP84" s="710"/>
      <c r="BQ84" s="179"/>
      <c r="BR84" s="179"/>
      <c r="BS84" s="179"/>
      <c r="BT84" s="179"/>
      <c r="BU84" s="179"/>
      <c r="BV84" s="179"/>
      <c r="BW84" s="179"/>
      <c r="BX84" s="179"/>
      <c r="BY84" s="179"/>
      <c r="BZ84" s="179"/>
      <c r="CA84" s="179"/>
      <c r="CB84" s="179"/>
      <c r="CC84" s="179"/>
      <c r="CD84" s="179"/>
      <c r="CE84" s="179"/>
    </row>
    <row r="85" spans="2:83" ht="13.35" customHeight="1" collapsed="1">
      <c r="B85" s="166" t="s">
        <v>251</v>
      </c>
      <c r="C85" s="315"/>
      <c r="D85" s="351"/>
      <c r="E85" s="351"/>
      <c r="F85" s="351"/>
      <c r="G85" s="347">
        <f>+G83/G$58</f>
        <v>-0.11781644157845642</v>
      </c>
      <c r="H85" s="347">
        <f>+H83/H$58</f>
        <v>0.12238022314591993</v>
      </c>
      <c r="I85" s="347">
        <f>+I83/I$58</f>
        <v>0.1466864927862396</v>
      </c>
      <c r="J85" s="347">
        <f>+J83/J$58</f>
        <v>9.8436727397208171E-2</v>
      </c>
      <c r="K85" s="351"/>
      <c r="L85" s="347">
        <f t="shared" ref="L85:AD85" si="380">+L83/L$58</f>
        <v>0</v>
      </c>
      <c r="M85" s="347">
        <f t="shared" si="380"/>
        <v>0.12655378744373019</v>
      </c>
      <c r="N85" s="347">
        <f t="shared" si="380"/>
        <v>0.12445645012518118</v>
      </c>
      <c r="O85" s="347">
        <f t="shared" si="380"/>
        <v>8.4112438858275032E-2</v>
      </c>
      <c r="P85" s="347">
        <f t="shared" si="380"/>
        <v>0.10938045883311984</v>
      </c>
      <c r="Q85" s="347">
        <f t="shared" si="380"/>
        <v>0.10012851010308151</v>
      </c>
      <c r="R85" s="347">
        <f t="shared" si="380"/>
        <v>0.1041630795259734</v>
      </c>
      <c r="S85" s="347">
        <f t="shared" si="380"/>
        <v>0.16397727575814153</v>
      </c>
      <c r="T85" s="347">
        <f t="shared" si="380"/>
        <v>0.10680342051809313</v>
      </c>
      <c r="U85" s="347">
        <f t="shared" si="380"/>
        <v>0.10497068449928183</v>
      </c>
      <c r="V85" s="347">
        <f t="shared" si="380"/>
        <v>0.1166835414557318</v>
      </c>
      <c r="W85" s="347">
        <f t="shared" si="380"/>
        <v>0.1220508387913613</v>
      </c>
      <c r="X85" s="347">
        <f t="shared" si="380"/>
        <v>9.0403909358242523E-2</v>
      </c>
      <c r="Y85" s="347">
        <f t="shared" si="380"/>
        <v>9.8729005901044026E-2</v>
      </c>
      <c r="Z85" s="347">
        <f t="shared" si="380"/>
        <v>0.19304920862180555</v>
      </c>
      <c r="AA85" s="347">
        <f t="shared" si="380"/>
        <v>8.4941789215686278E-2</v>
      </c>
      <c r="AB85" s="347">
        <f t="shared" si="380"/>
        <v>0.11744347606416572</v>
      </c>
      <c r="AC85" s="347">
        <f t="shared" si="380"/>
        <v>8.5521733401103139E-2</v>
      </c>
      <c r="AD85" s="347">
        <f t="shared" si="380"/>
        <v>0.15616071751473726</v>
      </c>
      <c r="AE85" s="347">
        <f t="shared" ref="AE85:AI85" si="381">+AE83/AE$58</f>
        <v>0.22580265590855605</v>
      </c>
      <c r="AF85" s="347">
        <f t="shared" si="381"/>
        <v>0.17811332750536438</v>
      </c>
      <c r="AG85" s="347">
        <f t="shared" si="381"/>
        <v>0.1638362763616199</v>
      </c>
      <c r="AH85" s="347">
        <f t="shared" si="381"/>
        <v>9.2250069360954409E-2</v>
      </c>
      <c r="AI85" s="347">
        <f t="shared" si="381"/>
        <v>0.10645166023505935</v>
      </c>
      <c r="AJ85" s="347">
        <f t="shared" ref="AJ85:AN85" si="382">+AJ83/AJ$58</f>
        <v>8.7303580898155125E-2</v>
      </c>
      <c r="AK85" s="347">
        <f t="shared" si="382"/>
        <v>7.5687331536388139E-2</v>
      </c>
      <c r="AL85" s="347">
        <f t="shared" si="382"/>
        <v>9.0042992014744222E-2</v>
      </c>
      <c r="AM85" s="347">
        <f t="shared" si="382"/>
        <v>0.11425082622141407</v>
      </c>
      <c r="AN85" s="347">
        <f t="shared" si="382"/>
        <v>7.0062967983884256E-2</v>
      </c>
      <c r="AO85" s="347">
        <f t="shared" ref="AO85:AS85" si="383">+AO83/AO$58</f>
        <v>6.4532907549201046E-2</v>
      </c>
      <c r="AP85" s="347">
        <f t="shared" si="383"/>
        <v>9.5672304639516204E-2</v>
      </c>
      <c r="AQ85" s="347">
        <f t="shared" si="383"/>
        <v>8.5735074174380532E-2</v>
      </c>
      <c r="AR85" s="347">
        <f t="shared" si="383"/>
        <v>8.4288744884828959E-2</v>
      </c>
      <c r="AS85" s="347">
        <f t="shared" si="383"/>
        <v>4.8373297309467524E-2</v>
      </c>
      <c r="AT85" s="347">
        <f>+AT83/AT$58</f>
        <v>0.12006145977715459</v>
      </c>
      <c r="AU85" s="347">
        <f>+AU83/AU$58</f>
        <v>7.6950665077372596E-2</v>
      </c>
      <c r="AV85" s="340">
        <f t="shared" ref="AV85:AW85" si="384">+AV83/AV$58</f>
        <v>8.2754991555613111E-2</v>
      </c>
      <c r="AW85" s="347">
        <f t="shared" si="384"/>
        <v>6.4688494770350158E-2</v>
      </c>
      <c r="AX85" s="347">
        <f t="shared" ref="AX85:AY85" si="385">+AX83/AX$58</f>
        <v>6.6718822089827684E-2</v>
      </c>
      <c r="AY85" s="347">
        <f t="shared" si="385"/>
        <v>6.8404902128957251E-2</v>
      </c>
      <c r="AZ85" s="347">
        <f t="shared" ref="AZ85" si="386">+AZ83/AZ$58</f>
        <v>3.9488067043177262E-2</v>
      </c>
      <c r="BA85" s="340">
        <f t="shared" ref="BA85:BC85" si="387">+BA83/BA$58</f>
        <v>5.9400931970075781E-2</v>
      </c>
      <c r="BB85" s="347">
        <f t="shared" si="387"/>
        <v>6.7351437136307535E-2</v>
      </c>
      <c r="BC85" s="347">
        <f t="shared" si="387"/>
        <v>2.9284445297056542E-2</v>
      </c>
      <c r="BD85" s="347">
        <f t="shared" ref="BD85:BE85" si="388">+BD83/BD$58</f>
        <v>9.8836422137447144E-3</v>
      </c>
      <c r="BE85" s="347">
        <f t="shared" si="388"/>
        <v>2.2697918975307416E-2</v>
      </c>
      <c r="BF85" s="340">
        <f t="shared" ref="BF85:BM85" si="389">+BF83/BF$58</f>
        <v>3.1366711385824232E-2</v>
      </c>
      <c r="BG85" s="347">
        <f t="shared" si="389"/>
        <v>3.0891546719925316E-2</v>
      </c>
      <c r="BH85" s="347">
        <f t="shared" si="389"/>
        <v>1.0334599042336873E-2</v>
      </c>
      <c r="BI85" s="347">
        <f t="shared" si="389"/>
        <v>1.2732753035296768E-2</v>
      </c>
      <c r="BJ85" s="347">
        <f t="shared" si="389"/>
        <v>1.0534689077955316E-2</v>
      </c>
      <c r="BK85" s="340">
        <f t="shared" ref="BK85" si="390">+BK83/BK$58</f>
        <v>1.5846105566156499E-2</v>
      </c>
      <c r="BL85" s="347">
        <f t="shared" si="389"/>
        <v>1.4066732965261822E-2</v>
      </c>
      <c r="BM85" s="347">
        <f t="shared" si="389"/>
        <v>6.8994270651209083E-3</v>
      </c>
      <c r="BN85" s="347">
        <f t="shared" ref="BN85:BO85" si="391">+BN83/BN$58</f>
        <v>2.2226988243093059E-2</v>
      </c>
      <c r="BO85" s="347">
        <f t="shared" si="391"/>
        <v>3.6666645727459465E-2</v>
      </c>
      <c r="BP85" s="340">
        <f t="shared" ref="BP85:BT85" si="392">+BP83/BP$58</f>
        <v>2.0300508088766579E-2</v>
      </c>
      <c r="BQ85" s="347">
        <f t="shared" si="392"/>
        <v>1.2745545625676208E-2</v>
      </c>
      <c r="BR85" s="347">
        <f t="shared" si="392"/>
        <v>8.0884056027599321E-3</v>
      </c>
      <c r="BS85" s="347">
        <f t="shared" si="392"/>
        <v>5.3036813788394296E-3</v>
      </c>
      <c r="BT85" s="347">
        <f t="shared" si="392"/>
        <v>4.1304868725824673E-3</v>
      </c>
      <c r="BU85" s="340">
        <f t="shared" ref="BU85" si="393">+BU83/BU$58</f>
        <v>7.4575004670278345E-3</v>
      </c>
      <c r="BV85" s="314">
        <v>1.0999999999999999E-2</v>
      </c>
      <c r="BW85" s="314">
        <v>1.4999999999999999E-2</v>
      </c>
      <c r="BX85" s="314">
        <v>1.4999999999999999E-2</v>
      </c>
      <c r="BY85" s="314">
        <v>1.4999999999999999E-2</v>
      </c>
      <c r="BZ85" s="340">
        <f t="shared" ref="BZ85" si="394">+BZ83/BZ$58</f>
        <v>1.4037303905814875E-2</v>
      </c>
      <c r="CA85" s="314">
        <v>0.01</v>
      </c>
      <c r="CB85" s="314">
        <v>0.01</v>
      </c>
      <c r="CC85" s="314">
        <v>0.01</v>
      </c>
      <c r="CD85" s="314">
        <v>0.01</v>
      </c>
      <c r="CE85" s="340">
        <f t="shared" ref="CE85" si="395">+CE83/CE$58</f>
        <v>9.9999999999999985E-3</v>
      </c>
    </row>
    <row r="86" spans="2:83" ht="12.75">
      <c r="B86" s="291" t="s">
        <v>264</v>
      </c>
      <c r="C86" s="315"/>
      <c r="D86" s="378">
        <v>1600</v>
      </c>
      <c r="E86" s="351"/>
      <c r="F86" s="351"/>
      <c r="G86" s="351">
        <f>+'Billings &amp; Recs'!G78</f>
        <v>1829</v>
      </c>
      <c r="H86" s="351">
        <f>+'Billings &amp; Recs'!H78</f>
        <v>6895</v>
      </c>
      <c r="I86" s="378">
        <v>2119</v>
      </c>
      <c r="J86" s="378">
        <v>2000</v>
      </c>
      <c r="K86" s="351">
        <f>+'Billings &amp; Recs'!K78</f>
        <v>-24</v>
      </c>
      <c r="L86" s="351">
        <f>+'Billings &amp; Recs'!L78</f>
        <v>4940</v>
      </c>
      <c r="M86" s="351">
        <f>+'Billings &amp; Recs'!M78</f>
        <v>9195</v>
      </c>
      <c r="N86" s="351">
        <f>+'Billings &amp; Recs'!N78</f>
        <v>2707</v>
      </c>
      <c r="O86" s="351">
        <f>+'Billings &amp; Recs'!O78</f>
        <v>2879</v>
      </c>
      <c r="P86" s="351">
        <f>+'Billings &amp; Recs'!P78</f>
        <v>2946</v>
      </c>
      <c r="Q86" s="351">
        <f>+'Billings &amp; Recs'!Q78</f>
        <v>2972</v>
      </c>
      <c r="R86" s="351">
        <f>+'Billings &amp; Recs'!R78</f>
        <v>11504</v>
      </c>
      <c r="S86" s="351">
        <f>+'Billings &amp; Recs'!S78</f>
        <v>3084</v>
      </c>
      <c r="T86" s="351">
        <f>+'Billings &amp; Recs'!T78</f>
        <v>3306</v>
      </c>
      <c r="U86" s="351">
        <f>+'Billings &amp; Recs'!U78</f>
        <v>3741</v>
      </c>
      <c r="V86" s="351">
        <f>+'Billings &amp; Recs'!V78</f>
        <v>3843</v>
      </c>
      <c r="W86" s="351">
        <f>+'Billings &amp; Recs'!W78</f>
        <v>13974</v>
      </c>
      <c r="X86" s="351">
        <f>+'Billings &amp; Recs'!X78</f>
        <v>3724</v>
      </c>
      <c r="Y86" s="351">
        <f>+'Billings &amp; Recs'!Y78</f>
        <v>3885</v>
      </c>
      <c r="Z86" s="351">
        <f>+'Billings &amp; Recs'!Z78</f>
        <v>4426</v>
      </c>
      <c r="AA86" s="351">
        <f>+'Billings &amp; Recs'!AA78</f>
        <v>4586</v>
      </c>
      <c r="AB86" s="351">
        <f>+'Billings &amp; Recs'!AB78</f>
        <v>16621</v>
      </c>
      <c r="AC86" s="351">
        <f>+'Billings &amp; Recs'!AC78</f>
        <v>4727</v>
      </c>
      <c r="AD86" s="351">
        <f>+'Billings &amp; Recs'!AD78</f>
        <v>4854</v>
      </c>
      <c r="AE86" s="351">
        <f>+'Billings &amp; Recs'!AE78</f>
        <v>5098</v>
      </c>
      <c r="AF86" s="351">
        <f>+'Billings &amp; Recs'!AF78</f>
        <v>5166</v>
      </c>
      <c r="AG86" s="351">
        <f>+'Billings &amp; Recs'!AG78</f>
        <v>19845</v>
      </c>
      <c r="AH86" s="351">
        <f>+'Billings &amp; Recs'!AH78</f>
        <v>6410</v>
      </c>
      <c r="AI86" s="351">
        <f>+'Billings &amp; Recs'!AI78</f>
        <v>6342</v>
      </c>
      <c r="AJ86" s="351">
        <f>+'Billings &amp; Recs'!AJ78</f>
        <v>6110</v>
      </c>
      <c r="AK86" s="351">
        <f>+'Billings &amp; Recs'!AK78</f>
        <v>6316</v>
      </c>
      <c r="AL86" s="351">
        <f>+'Billings &amp; Recs'!AL78</f>
        <v>25178</v>
      </c>
      <c r="AM86" s="351">
        <f>+'Billings &amp; Recs'!AM78</f>
        <v>6415</v>
      </c>
      <c r="AN86" s="351">
        <f>+'Billings &amp; Recs'!AN78</f>
        <v>6354</v>
      </c>
      <c r="AO86" s="351">
        <f>+'Billings &amp; Recs'!AO78</f>
        <v>6157</v>
      </c>
      <c r="AP86" s="351">
        <f>+'Billings &amp; Recs'!AP78</f>
        <v>6195</v>
      </c>
      <c r="AQ86" s="351">
        <f>+'Billings &amp; Recs'!AQ78</f>
        <v>25121</v>
      </c>
      <c r="AR86" s="351">
        <f>+'Billings &amp; Recs'!AR78</f>
        <v>6227</v>
      </c>
      <c r="AS86" s="351">
        <f>+'Billings &amp; Recs'!AS78</f>
        <v>6336</v>
      </c>
      <c r="AT86" s="351">
        <f>+'Billings &amp; Recs'!AT78</f>
        <v>6738</v>
      </c>
      <c r="AU86" s="351">
        <f>+'Billings &amp; Recs'!AU78</f>
        <v>7225</v>
      </c>
      <c r="AV86" s="354">
        <f>+SUM(AR86:AU86)</f>
        <v>26526</v>
      </c>
      <c r="AW86" s="351">
        <f>+'Billings &amp; Recs'!AW78</f>
        <v>7433</v>
      </c>
      <c r="AX86" s="351">
        <f>+'Billings &amp; Recs'!AX78</f>
        <v>7145</v>
      </c>
      <c r="AY86" s="351">
        <f>+'Billings &amp; Recs'!AY78</f>
        <v>7218</v>
      </c>
      <c r="AZ86" s="351">
        <f>+'Billings &amp; Recs'!AZ78</f>
        <v>7440</v>
      </c>
      <c r="BA86" s="354">
        <f>+SUM(AW86:AZ86)</f>
        <v>29236</v>
      </c>
      <c r="BB86" s="351">
        <f>+'Billings &amp; Recs'!BB78</f>
        <v>7276</v>
      </c>
      <c r="BC86" s="351">
        <f>+'Billings &amp; Recs'!BC78</f>
        <v>7097</v>
      </c>
      <c r="BD86" s="351">
        <f>+'Billings &amp; Recs'!BD78</f>
        <v>6875</v>
      </c>
      <c r="BE86" s="351">
        <f>+'Billings &amp; Recs'!BE78</f>
        <v>7688</v>
      </c>
      <c r="BF86" s="354">
        <f>+SUM(BB86:BE86)</f>
        <v>28936</v>
      </c>
      <c r="BG86" s="351">
        <f>+'Billings &amp; Recs'!BG78</f>
        <v>6672</v>
      </c>
      <c r="BH86" s="351">
        <f>+'Billings &amp; Recs'!BH78</f>
        <v>6230</v>
      </c>
      <c r="BI86" s="351">
        <f>+'Billings &amp; Recs'!BI78</f>
        <v>5922</v>
      </c>
      <c r="BJ86" s="351">
        <f>+'Billings &amp; Recs'!BJ78</f>
        <v>5080</v>
      </c>
      <c r="BK86" s="354">
        <f>+SUM(BG86:BJ86)</f>
        <v>23904</v>
      </c>
      <c r="BL86" s="351">
        <f>+'Billings &amp; Recs'!BL78</f>
        <v>4467</v>
      </c>
      <c r="BM86" s="351">
        <f>+'Billings &amp; Recs'!BM78</f>
        <v>4009</v>
      </c>
      <c r="BN86" s="351">
        <f>+'Billings &amp; Recs'!BN78</f>
        <v>3670</v>
      </c>
      <c r="BO86" s="351">
        <f>+'Billings &amp; Recs'!BO78</f>
        <v>3464</v>
      </c>
      <c r="BP86" s="354">
        <f>+SUM(BL86:BO86)</f>
        <v>15610</v>
      </c>
      <c r="BQ86" s="351">
        <f>+'Billings &amp; Recs'!BQ78</f>
        <v>3537</v>
      </c>
      <c r="BR86" s="351">
        <f>+'Billings &amp; Recs'!BR78</f>
        <v>3339</v>
      </c>
      <c r="BS86" s="351">
        <f>+'Billings &amp; Recs'!BS78</f>
        <v>2559</v>
      </c>
      <c r="BT86" s="351">
        <f>+'Billings &amp; Recs'!BT78</f>
        <v>2499</v>
      </c>
      <c r="BU86" s="354">
        <f>+SUM(BQ86:BT86)</f>
        <v>11934</v>
      </c>
      <c r="BV86" s="354">
        <f>+BV87*BV82</f>
        <v>3474.9</v>
      </c>
      <c r="BW86" s="354">
        <f>+BW87*BW82</f>
        <v>3239.9241847499993</v>
      </c>
      <c r="BX86" s="354">
        <f>+BX87*BX82</f>
        <v>2101.7374780250002</v>
      </c>
      <c r="BY86" s="354">
        <f>+BY87*BY82</f>
        <v>2165.4984552225001</v>
      </c>
      <c r="BZ86" s="354">
        <f>+SUM(BV86:BY86)</f>
        <v>10982.060117997498</v>
      </c>
      <c r="CA86" s="354">
        <f>+CA87*CA82</f>
        <v>3345.414329550375</v>
      </c>
      <c r="CB86" s="354">
        <f>+CB87*CB82</f>
        <v>3124.6566524178183</v>
      </c>
      <c r="CC86" s="354">
        <f>+CC87*CC82</f>
        <v>2352.2745802841164</v>
      </c>
      <c r="CD86" s="354">
        <f>+CD87*CD82</f>
        <v>2302.2982774500229</v>
      </c>
      <c r="CE86" s="354">
        <f>+SUM(CA86:CD86)</f>
        <v>11124.643839702334</v>
      </c>
    </row>
    <row r="87" spans="2:83" ht="25.5">
      <c r="B87" s="291" t="s">
        <v>265</v>
      </c>
      <c r="C87" s="315"/>
      <c r="D87" s="347"/>
      <c r="E87" s="347"/>
      <c r="F87" s="347"/>
      <c r="G87" s="347">
        <f t="shared" ref="G87:AI87" si="396">+G86/G82</f>
        <v>0.10825047348484848</v>
      </c>
      <c r="H87" s="347">
        <f t="shared" si="396"/>
        <v>0.4974388572253084</v>
      </c>
      <c r="I87" s="347">
        <f t="shared" si="396"/>
        <v>0.1167621776504298</v>
      </c>
      <c r="J87" s="347">
        <f t="shared" si="396"/>
        <v>0.1010764643452772</v>
      </c>
      <c r="K87" s="347" t="e">
        <f t="shared" si="396"/>
        <v>#DIV/0!</v>
      </c>
      <c r="L87" s="347" t="e">
        <f t="shared" si="396"/>
        <v>#DIV/0!</v>
      </c>
      <c r="M87" s="347">
        <f t="shared" si="396"/>
        <v>0.50666740136654176</v>
      </c>
      <c r="N87" s="347">
        <f t="shared" si="396"/>
        <v>0.11731310942578549</v>
      </c>
      <c r="O87" s="347">
        <f t="shared" si="396"/>
        <v>0.11911953328644131</v>
      </c>
      <c r="P87" s="347">
        <f t="shared" si="396"/>
        <v>0.12268865567216392</v>
      </c>
      <c r="Q87" s="347">
        <f t="shared" si="396"/>
        <v>0.11995479496286729</v>
      </c>
      <c r="R87" s="347">
        <f t="shared" si="396"/>
        <v>0.49854821235102925</v>
      </c>
      <c r="S87" s="347">
        <f t="shared" si="396"/>
        <v>0.11586144714103239</v>
      </c>
      <c r="T87" s="347">
        <f t="shared" si="396"/>
        <v>0.11690653842073624</v>
      </c>
      <c r="U87" s="347">
        <f t="shared" si="396"/>
        <v>0.12794992817566181</v>
      </c>
      <c r="V87" s="347">
        <f t="shared" si="396"/>
        <v>0.12824962456198899</v>
      </c>
      <c r="W87" s="347">
        <f t="shared" si="396"/>
        <v>0.52498309414681799</v>
      </c>
      <c r="X87" s="347">
        <f t="shared" si="396"/>
        <v>0.11886750295253599</v>
      </c>
      <c r="Y87" s="347">
        <f t="shared" si="396"/>
        <v>0.12222362046183854</v>
      </c>
      <c r="Z87" s="347">
        <f t="shared" si="396"/>
        <v>0.11058088694565896</v>
      </c>
      <c r="AA87" s="347">
        <f t="shared" si="396"/>
        <v>0.11276124907794444</v>
      </c>
      <c r="AB87" s="347">
        <f t="shared" si="396"/>
        <v>0.53053081809186375</v>
      </c>
      <c r="AC87" s="347">
        <f t="shared" si="396"/>
        <v>0.11997157432552473</v>
      </c>
      <c r="AD87" s="347">
        <f t="shared" si="396"/>
        <v>0.11890355926805968</v>
      </c>
      <c r="AE87" s="347">
        <f t="shared" si="396"/>
        <v>0.11920127197904976</v>
      </c>
      <c r="AF87" s="347">
        <f t="shared" si="396"/>
        <v>0.1007390651508356</v>
      </c>
      <c r="AG87" s="347">
        <f t="shared" si="396"/>
        <v>0.50366741960863937</v>
      </c>
      <c r="AH87" s="347">
        <f t="shared" si="396"/>
        <v>0.10946599040251379</v>
      </c>
      <c r="AI87" s="347">
        <f t="shared" si="396"/>
        <v>0.10448793989719257</v>
      </c>
      <c r="AJ87" s="347">
        <f t="shared" ref="AJ87:AN87" si="397">+AJ86/AJ82</f>
        <v>9.4039062379757746E-2</v>
      </c>
      <c r="AK87" s="347">
        <f t="shared" si="397"/>
        <v>9.791792629800164E-2</v>
      </c>
      <c r="AL87" s="347">
        <f t="shared" si="397"/>
        <v>0.4299742131598272</v>
      </c>
      <c r="AM87" s="347">
        <f t="shared" si="397"/>
        <v>0.10440740861300088</v>
      </c>
      <c r="AN87" s="347">
        <f t="shared" si="397"/>
        <v>0.10504910227160004</v>
      </c>
      <c r="AO87" s="347">
        <f t="shared" ref="AO87:AS87" si="398">+AO86/AO82</f>
        <v>0.10372479320743273</v>
      </c>
      <c r="AP87" s="347">
        <f t="shared" si="398"/>
        <v>0.10552763819095477</v>
      </c>
      <c r="AQ87" s="347">
        <f t="shared" si="398"/>
        <v>0.40885713355685038</v>
      </c>
      <c r="AR87" s="347">
        <f t="shared" si="398"/>
        <v>0.10279139635847406</v>
      </c>
      <c r="AS87" s="347">
        <f t="shared" si="398"/>
        <v>0.1027487229384578</v>
      </c>
      <c r="AT87" s="347">
        <f t="shared" ref="AT87:AU87" si="399">+AT86/AT82</f>
        <v>0.10678626897841453</v>
      </c>
      <c r="AU87" s="347">
        <f t="shared" si="399"/>
        <v>0.10691982123301862</v>
      </c>
      <c r="AV87" s="340">
        <f>+AV86/AV82</f>
        <v>0.4378745109691477</v>
      </c>
      <c r="AW87" s="347">
        <f t="shared" ref="AW87:AX87" si="400">+AW86/AW82</f>
        <v>0.1146183500385505</v>
      </c>
      <c r="AX87" s="347">
        <f t="shared" si="400"/>
        <v>0.11017733230531997</v>
      </c>
      <c r="AY87" s="347">
        <f t="shared" ref="AY87:AZ87" si="401">+AY86/AY82</f>
        <v>0.11252981619194612</v>
      </c>
      <c r="AZ87" s="347">
        <f t="shared" si="401"/>
        <v>0.1127973438044846</v>
      </c>
      <c r="BA87" s="340">
        <f>+BA86/BA82</f>
        <v>0.45082498072474941</v>
      </c>
      <c r="BB87" s="347">
        <f t="shared" ref="BB87:BC87" si="402">+BB86/BB82</f>
        <v>0.11763184272642029</v>
      </c>
      <c r="BC87" s="347">
        <f t="shared" si="402"/>
        <v>0.11473793125747729</v>
      </c>
      <c r="BD87" s="347">
        <f t="shared" ref="BD87:BE87" si="403">+BD86/BD82</f>
        <v>0.10847783896366189</v>
      </c>
      <c r="BE87" s="347">
        <f t="shared" si="403"/>
        <v>0.13294137990662286</v>
      </c>
      <c r="BF87" s="340">
        <f>+BF86/BF82</f>
        <v>0.46781129757170109</v>
      </c>
      <c r="BG87" s="347">
        <f t="shared" ref="BG87:BM87" si="404">+BG86/BG82</f>
        <v>0.14067639369149026</v>
      </c>
      <c r="BH87" s="347">
        <f t="shared" si="404"/>
        <v>0.13135700430125663</v>
      </c>
      <c r="BI87" s="347">
        <f t="shared" si="404"/>
        <v>0.14676579925650557</v>
      </c>
      <c r="BJ87" s="347">
        <f t="shared" si="404"/>
        <v>0.14048672566371681</v>
      </c>
      <c r="BK87" s="340">
        <f>+BK86/BK82</f>
        <v>0.50400607236231765</v>
      </c>
      <c r="BL87" s="347">
        <f t="shared" si="404"/>
        <v>0.137028743212982</v>
      </c>
      <c r="BM87" s="347">
        <f t="shared" si="404"/>
        <v>0.13278791692888608</v>
      </c>
      <c r="BN87" s="347">
        <f t="shared" ref="BN87:BO87" si="405">+BN86/BN82</f>
        <v>0.1322141364651632</v>
      </c>
      <c r="BO87" s="347">
        <f t="shared" si="405"/>
        <v>0.12668690341220787</v>
      </c>
      <c r="BP87" s="340">
        <f>+BP86/BP82</f>
        <v>0.47884904444921622</v>
      </c>
      <c r="BQ87" s="347">
        <f t="shared" ref="BQ87:BT87" si="406">+BQ86/BQ82</f>
        <v>0.1165442024448911</v>
      </c>
      <c r="BR87" s="347">
        <f t="shared" si="406"/>
        <v>0.11819469026548672</v>
      </c>
      <c r="BS87" s="347">
        <f t="shared" si="406"/>
        <v>9.7813622811711645E-2</v>
      </c>
      <c r="BT87" s="347">
        <f t="shared" si="406"/>
        <v>0.10079864472410455</v>
      </c>
      <c r="BU87" s="340">
        <f>+BU86/BU82</f>
        <v>0.39322547695146465</v>
      </c>
      <c r="BV87" s="314">
        <v>0.15</v>
      </c>
      <c r="BW87" s="314">
        <v>0.15</v>
      </c>
      <c r="BX87" s="314">
        <v>0.1</v>
      </c>
      <c r="BY87" s="314">
        <v>0.1</v>
      </c>
      <c r="BZ87" s="340">
        <f>+BZ86/BZ82</f>
        <v>0.47405940248629452</v>
      </c>
      <c r="CA87" s="314">
        <v>0.15</v>
      </c>
      <c r="CB87" s="314">
        <v>0.15</v>
      </c>
      <c r="CC87" s="314">
        <v>0.12</v>
      </c>
      <c r="CD87" s="314">
        <v>0.12</v>
      </c>
      <c r="CE87" s="340">
        <f>+CE86/CE82</f>
        <v>0.49880116827849652</v>
      </c>
    </row>
    <row r="88" spans="2:83" ht="13.35" customHeight="1">
      <c r="B88" s="166" t="s">
        <v>252</v>
      </c>
      <c r="C88" s="315"/>
      <c r="D88" s="351"/>
      <c r="E88" s="351"/>
      <c r="F88" s="351"/>
      <c r="G88" s="351">
        <f t="shared" ref="G88:AI88" si="407">+(G82+G83-G86-G90)*-1</f>
        <v>5986</v>
      </c>
      <c r="H88" s="351">
        <f t="shared" si="407"/>
        <v>-6</v>
      </c>
      <c r="I88" s="351">
        <f t="shared" si="407"/>
        <v>108</v>
      </c>
      <c r="J88" s="351">
        <f t="shared" si="407"/>
        <v>-20375</v>
      </c>
      <c r="K88" s="351">
        <f t="shared" si="407"/>
        <v>-24</v>
      </c>
      <c r="L88" s="351">
        <f t="shared" si="407"/>
        <v>28015</v>
      </c>
      <c r="M88" s="351">
        <f t="shared" si="407"/>
        <v>459</v>
      </c>
      <c r="N88" s="351">
        <f t="shared" si="407"/>
        <v>23</v>
      </c>
      <c r="O88" s="351">
        <f t="shared" si="407"/>
        <v>5</v>
      </c>
      <c r="P88" s="351">
        <f t="shared" si="407"/>
        <v>-47</v>
      </c>
      <c r="Q88" s="351">
        <f t="shared" si="407"/>
        <v>1152</v>
      </c>
      <c r="R88" s="351">
        <f t="shared" si="407"/>
        <v>1133</v>
      </c>
      <c r="S88" s="351">
        <f t="shared" si="407"/>
        <v>-1403</v>
      </c>
      <c r="T88" s="351">
        <f t="shared" si="407"/>
        <v>6</v>
      </c>
      <c r="U88" s="351">
        <f t="shared" si="407"/>
        <v>10</v>
      </c>
      <c r="V88" s="351">
        <f t="shared" si="407"/>
        <v>21</v>
      </c>
      <c r="W88" s="351">
        <f t="shared" si="407"/>
        <v>-1366</v>
      </c>
      <c r="X88" s="351">
        <f t="shared" si="407"/>
        <v>0</v>
      </c>
      <c r="Y88" s="351">
        <f t="shared" si="407"/>
        <v>7339</v>
      </c>
      <c r="Z88" s="351">
        <f t="shared" si="407"/>
        <v>-4772</v>
      </c>
      <c r="AA88" s="351">
        <f t="shared" si="407"/>
        <v>-1119</v>
      </c>
      <c r="AB88" s="351">
        <f t="shared" si="407"/>
        <v>1448</v>
      </c>
      <c r="AC88" s="351">
        <f t="shared" si="407"/>
        <v>1606</v>
      </c>
      <c r="AD88" s="351">
        <f t="shared" si="407"/>
        <v>-1837</v>
      </c>
      <c r="AE88" s="351">
        <f t="shared" si="407"/>
        <v>178</v>
      </c>
      <c r="AF88" s="351">
        <f t="shared" si="407"/>
        <v>1236</v>
      </c>
      <c r="AG88" s="351">
        <f t="shared" si="407"/>
        <v>1183</v>
      </c>
      <c r="AH88" s="351">
        <f t="shared" si="407"/>
        <v>2564</v>
      </c>
      <c r="AI88" s="351">
        <f t="shared" si="407"/>
        <v>3364</v>
      </c>
      <c r="AJ88" s="351">
        <f t="shared" ref="AJ88:AN88" si="408">+(AJ82+AJ83-AJ86-AJ90)*-1</f>
        <v>-616</v>
      </c>
      <c r="AK88" s="351">
        <f t="shared" si="408"/>
        <v>-2361</v>
      </c>
      <c r="AL88" s="351">
        <f t="shared" si="408"/>
        <v>2951</v>
      </c>
      <c r="AM88" s="351">
        <f t="shared" si="408"/>
        <v>-3149</v>
      </c>
      <c r="AN88" s="351">
        <f t="shared" si="408"/>
        <v>-303</v>
      </c>
      <c r="AO88" s="351">
        <f t="shared" ref="AO88:AS88" si="409">+(AO82+AO83-AO86-AO90)*-1</f>
        <v>168</v>
      </c>
      <c r="AP88" s="351">
        <f t="shared" si="409"/>
        <v>-31</v>
      </c>
      <c r="AQ88" s="351">
        <f t="shared" si="409"/>
        <v>-3315</v>
      </c>
      <c r="AR88" s="351">
        <f t="shared" si="409"/>
        <v>42</v>
      </c>
      <c r="AS88" s="351">
        <f t="shared" si="409"/>
        <v>3472</v>
      </c>
      <c r="AT88" s="351">
        <f t="shared" ref="AT88:AU88" si="410">+(AT82+AT83-AT86-AT90)*-1</f>
        <v>40</v>
      </c>
      <c r="AU88" s="351">
        <f t="shared" si="410"/>
        <v>-2794</v>
      </c>
      <c r="AV88" s="354">
        <f t="shared" ref="AV88:AW88" si="411">+(AV82+AV83-AV86-AV90)*-1</f>
        <v>0</v>
      </c>
      <c r="AW88" s="351">
        <f t="shared" si="411"/>
        <v>0</v>
      </c>
      <c r="AX88" s="351">
        <f t="shared" ref="AX88" si="412">+(AX82+AX83-AX86-AX90)*-1</f>
        <v>0</v>
      </c>
      <c r="AY88" s="351">
        <f t="shared" ref="AY88" si="413">+(AY82+AY83-AY86-AY90)*-1</f>
        <v>0</v>
      </c>
      <c r="AZ88" s="354">
        <f t="shared" ref="AZ88:BC88" si="414">+(AZ82+AZ83-AZ86-AZ90)*-1</f>
        <v>0</v>
      </c>
      <c r="BA88" s="354">
        <f t="shared" si="414"/>
        <v>0</v>
      </c>
      <c r="BB88" s="351">
        <f t="shared" si="414"/>
        <v>0</v>
      </c>
      <c r="BC88" s="351">
        <f t="shared" si="414"/>
        <v>0</v>
      </c>
      <c r="BD88" s="351">
        <f t="shared" ref="BD88:BE88" si="415">+(BD82+BD83-BD86-BD90)*-1</f>
        <v>0</v>
      </c>
      <c r="BE88" s="354">
        <f t="shared" si="415"/>
        <v>0</v>
      </c>
      <c r="BF88" s="354">
        <f t="shared" ref="BF88:BH88" si="416">+(BF82+BF83-BF86-BF90)*-1</f>
        <v>0</v>
      </c>
      <c r="BG88" s="351">
        <f t="shared" si="416"/>
        <v>0</v>
      </c>
      <c r="BH88" s="351">
        <f t="shared" si="416"/>
        <v>0</v>
      </c>
      <c r="BI88" s="354">
        <f t="shared" ref="BI88:BK88" si="417">+(BI82+BI83-BI86-BI90)*-1</f>
        <v>0</v>
      </c>
      <c r="BJ88" s="354">
        <f t="shared" si="417"/>
        <v>0</v>
      </c>
      <c r="BK88" s="354">
        <f t="shared" si="417"/>
        <v>0</v>
      </c>
      <c r="BL88" s="354">
        <f t="shared" ref="BL88:BP88" si="418">+(BL82+BL83-BL86-BL90)*-1</f>
        <v>0</v>
      </c>
      <c r="BM88" s="354">
        <f t="shared" si="418"/>
        <v>0</v>
      </c>
      <c r="BN88" s="354">
        <f t="shared" ref="BN88:BO88" si="419">+(BN82+BN83-BN86-BN90)*-1</f>
        <v>0</v>
      </c>
      <c r="BO88" s="354">
        <f t="shared" si="419"/>
        <v>0</v>
      </c>
      <c r="BP88" s="354">
        <f t="shared" si="418"/>
        <v>0</v>
      </c>
      <c r="BQ88" s="354">
        <f t="shared" ref="BQ88:BS88" si="420">+(BQ82+BQ83-BQ86-BQ90)*-1</f>
        <v>0</v>
      </c>
      <c r="BR88" s="354">
        <f t="shared" si="420"/>
        <v>0</v>
      </c>
      <c r="BS88" s="354">
        <f t="shared" si="420"/>
        <v>0</v>
      </c>
      <c r="BT88" s="354">
        <f t="shared" ref="BT88:BU88" si="421">+(BT82+BT83-BT86-BT90)*-1</f>
        <v>0</v>
      </c>
      <c r="BU88" s="354">
        <f t="shared" si="421"/>
        <v>0</v>
      </c>
      <c r="BV88" s="354">
        <f t="shared" ref="BV88:BZ88" si="422">+(BV82+BV83-BV86-BV90)*-1</f>
        <v>0</v>
      </c>
      <c r="BW88" s="354">
        <f t="shared" si="422"/>
        <v>0</v>
      </c>
      <c r="BX88" s="354">
        <f t="shared" si="422"/>
        <v>0</v>
      </c>
      <c r="BY88" s="354">
        <f t="shared" si="422"/>
        <v>0</v>
      </c>
      <c r="BZ88" s="354">
        <f t="shared" si="422"/>
        <v>0</v>
      </c>
      <c r="CA88" s="354">
        <f t="shared" ref="CA88:CE88" si="423">+(CA82+CA83-CA86-CA90)*-1</f>
        <v>0</v>
      </c>
      <c r="CB88" s="354">
        <f t="shared" si="423"/>
        <v>0</v>
      </c>
      <c r="CC88" s="354">
        <f t="shared" si="423"/>
        <v>0</v>
      </c>
      <c r="CD88" s="354">
        <f t="shared" si="423"/>
        <v>0</v>
      </c>
      <c r="CE88" s="354">
        <f t="shared" si="423"/>
        <v>0</v>
      </c>
    </row>
    <row r="89" spans="2:83" ht="3.75" customHeight="1">
      <c r="B89" s="166"/>
      <c r="C89" s="244"/>
      <c r="D89" s="355" t="s">
        <v>0</v>
      </c>
      <c r="E89" s="355" t="s">
        <v>0</v>
      </c>
      <c r="F89" s="355" t="s">
        <v>0</v>
      </c>
      <c r="G89" s="355" t="s">
        <v>0</v>
      </c>
      <c r="H89" s="355" t="s">
        <v>0</v>
      </c>
      <c r="I89" s="355" t="s">
        <v>0</v>
      </c>
      <c r="J89" s="355" t="s">
        <v>0</v>
      </c>
      <c r="K89" s="355" t="s">
        <v>0</v>
      </c>
      <c r="L89" s="355" t="s">
        <v>0</v>
      </c>
      <c r="M89" s="355" t="s">
        <v>0</v>
      </c>
      <c r="N89" s="355" t="s">
        <v>0</v>
      </c>
      <c r="O89" s="355" t="s">
        <v>0</v>
      </c>
      <c r="P89" s="355" t="s">
        <v>0</v>
      </c>
      <c r="Q89" s="355" t="s">
        <v>0</v>
      </c>
      <c r="R89" s="355" t="s">
        <v>0</v>
      </c>
      <c r="S89" s="355" t="s">
        <v>0</v>
      </c>
      <c r="T89" s="355" t="s">
        <v>0</v>
      </c>
      <c r="U89" s="355" t="s">
        <v>0</v>
      </c>
      <c r="V89" s="355" t="s">
        <v>0</v>
      </c>
      <c r="W89" s="355" t="s">
        <v>0</v>
      </c>
      <c r="X89" s="355" t="s">
        <v>0</v>
      </c>
      <c r="Y89" s="355" t="s">
        <v>0</v>
      </c>
      <c r="Z89" s="355" t="s">
        <v>0</v>
      </c>
      <c r="AA89" s="355" t="s">
        <v>0</v>
      </c>
      <c r="AB89" s="355" t="s">
        <v>0</v>
      </c>
      <c r="AC89" s="355" t="s">
        <v>0</v>
      </c>
      <c r="AD89" s="355" t="s">
        <v>0</v>
      </c>
      <c r="AE89" s="355" t="s">
        <v>0</v>
      </c>
      <c r="AF89" s="355" t="s">
        <v>0</v>
      </c>
      <c r="AG89" s="355" t="s">
        <v>0</v>
      </c>
      <c r="AH89" s="355" t="s">
        <v>0</v>
      </c>
      <c r="AI89" s="355" t="s">
        <v>0</v>
      </c>
      <c r="AJ89" s="355" t="s">
        <v>0</v>
      </c>
      <c r="AK89" s="355" t="s">
        <v>0</v>
      </c>
      <c r="AL89" s="355" t="s">
        <v>0</v>
      </c>
      <c r="AM89" s="355" t="s">
        <v>0</v>
      </c>
      <c r="AN89" s="355" t="s">
        <v>0</v>
      </c>
      <c r="AO89" s="355" t="s">
        <v>0</v>
      </c>
      <c r="AP89" s="355" t="s">
        <v>0</v>
      </c>
      <c r="AQ89" s="355" t="s">
        <v>0</v>
      </c>
      <c r="AR89" s="355" t="s">
        <v>0</v>
      </c>
      <c r="AS89" s="355" t="s">
        <v>0</v>
      </c>
      <c r="AT89" s="355" t="s">
        <v>0</v>
      </c>
      <c r="AU89" s="355" t="s">
        <v>0</v>
      </c>
      <c r="AV89" s="188" t="s">
        <v>0</v>
      </c>
      <c r="AW89" s="188" t="s">
        <v>0</v>
      </c>
      <c r="AX89" s="188" t="s">
        <v>0</v>
      </c>
      <c r="AY89" s="188" t="s">
        <v>0</v>
      </c>
      <c r="AZ89" s="188" t="s">
        <v>0</v>
      </c>
      <c r="BA89" s="188" t="s">
        <v>0</v>
      </c>
      <c r="BB89" s="188" t="s">
        <v>0</v>
      </c>
      <c r="BC89" s="188" t="s">
        <v>0</v>
      </c>
      <c r="BD89" s="188" t="s">
        <v>0</v>
      </c>
      <c r="BE89" s="188" t="s">
        <v>0</v>
      </c>
      <c r="BF89" s="188" t="s">
        <v>0</v>
      </c>
      <c r="BG89" s="188" t="s">
        <v>0</v>
      </c>
      <c r="BH89" s="188" t="s">
        <v>0</v>
      </c>
      <c r="BI89" s="188" t="s">
        <v>0</v>
      </c>
      <c r="BJ89" s="188" t="s">
        <v>0</v>
      </c>
      <c r="BK89" s="188" t="s">
        <v>0</v>
      </c>
      <c r="BL89" s="188" t="s">
        <v>0</v>
      </c>
      <c r="BM89" s="188" t="s">
        <v>0</v>
      </c>
      <c r="BN89" s="188" t="s">
        <v>0</v>
      </c>
      <c r="BO89" s="188" t="s">
        <v>0</v>
      </c>
      <c r="BP89" s="188" t="s">
        <v>0</v>
      </c>
      <c r="BQ89" s="188" t="s">
        <v>0</v>
      </c>
      <c r="BR89" s="188" t="s">
        <v>0</v>
      </c>
      <c r="BS89" s="188" t="s">
        <v>0</v>
      </c>
      <c r="BT89" s="188" t="s">
        <v>0</v>
      </c>
      <c r="BU89" s="188" t="s">
        <v>0</v>
      </c>
      <c r="BV89" s="188" t="s">
        <v>0</v>
      </c>
      <c r="BW89" s="188" t="s">
        <v>0</v>
      </c>
      <c r="BX89" s="188" t="s">
        <v>0</v>
      </c>
      <c r="BY89" s="188" t="s">
        <v>0</v>
      </c>
      <c r="BZ89" s="188" t="s">
        <v>0</v>
      </c>
      <c r="CA89" s="188" t="s">
        <v>0</v>
      </c>
      <c r="CB89" s="188" t="s">
        <v>0</v>
      </c>
      <c r="CC89" s="188" t="s">
        <v>0</v>
      </c>
      <c r="CD89" s="188" t="s">
        <v>0</v>
      </c>
      <c r="CE89" s="188" t="s">
        <v>0</v>
      </c>
    </row>
    <row r="90" spans="2:83" ht="13.35" customHeight="1">
      <c r="B90" s="294" t="s">
        <v>253</v>
      </c>
      <c r="C90" s="315"/>
      <c r="D90" s="351"/>
      <c r="E90" s="351"/>
      <c r="F90" s="351"/>
      <c r="G90" s="351">
        <f>+G15</f>
        <v>18148</v>
      </c>
      <c r="H90" s="351">
        <f>+H15</f>
        <v>18148</v>
      </c>
      <c r="I90" s="378">
        <v>19787</v>
      </c>
      <c r="J90" s="351">
        <f t="shared" ref="J90:AU90" si="424">+J15</f>
        <v>0</v>
      </c>
      <c r="K90" s="351">
        <f t="shared" si="424"/>
        <v>0</v>
      </c>
      <c r="L90" s="351">
        <f t="shared" si="424"/>
        <v>23075</v>
      </c>
      <c r="M90" s="351">
        <f t="shared" si="424"/>
        <v>23075</v>
      </c>
      <c r="N90" s="351">
        <f t="shared" si="424"/>
        <v>24169</v>
      </c>
      <c r="O90" s="351">
        <f t="shared" si="424"/>
        <v>24012</v>
      </c>
      <c r="P90" s="351">
        <f t="shared" si="424"/>
        <v>24776</v>
      </c>
      <c r="Q90" s="351">
        <f t="shared" si="424"/>
        <v>26618</v>
      </c>
      <c r="R90" s="351">
        <f t="shared" si="424"/>
        <v>26618</v>
      </c>
      <c r="S90" s="351">
        <f t="shared" si="424"/>
        <v>28279</v>
      </c>
      <c r="T90" s="351">
        <f t="shared" si="424"/>
        <v>29238</v>
      </c>
      <c r="U90" s="351">
        <f t="shared" si="424"/>
        <v>29965</v>
      </c>
      <c r="V90" s="351">
        <f t="shared" si="424"/>
        <v>31329</v>
      </c>
      <c r="W90" s="351">
        <f t="shared" si="424"/>
        <v>31329</v>
      </c>
      <c r="X90" s="351">
        <f t="shared" si="424"/>
        <v>31786</v>
      </c>
      <c r="Y90" s="351">
        <f t="shared" si="424"/>
        <v>40025</v>
      </c>
      <c r="Z90" s="351">
        <f t="shared" si="424"/>
        <v>40670</v>
      </c>
      <c r="AA90" s="351">
        <f t="shared" si="424"/>
        <v>39401</v>
      </c>
      <c r="AB90" s="351">
        <f t="shared" si="424"/>
        <v>39401</v>
      </c>
      <c r="AC90" s="351">
        <f t="shared" si="424"/>
        <v>40823</v>
      </c>
      <c r="AD90" s="351">
        <f t="shared" si="424"/>
        <v>42768</v>
      </c>
      <c r="AE90" s="351">
        <f t="shared" si="424"/>
        <v>51281</v>
      </c>
      <c r="AF90" s="351">
        <f t="shared" si="424"/>
        <v>58557</v>
      </c>
      <c r="AG90" s="351">
        <f t="shared" si="424"/>
        <v>58557</v>
      </c>
      <c r="AH90" s="351">
        <f t="shared" si="424"/>
        <v>60696</v>
      </c>
      <c r="AI90" s="351">
        <f t="shared" si="424"/>
        <v>64973</v>
      </c>
      <c r="AJ90" s="351">
        <f t="shared" si="424"/>
        <v>64503</v>
      </c>
      <c r="AK90" s="351">
        <f t="shared" si="424"/>
        <v>61442</v>
      </c>
      <c r="AL90" s="351">
        <f t="shared" si="424"/>
        <v>61442</v>
      </c>
      <c r="AM90" s="351">
        <f t="shared" si="424"/>
        <v>60486</v>
      </c>
      <c r="AN90" s="351">
        <f t="shared" si="424"/>
        <v>59359</v>
      </c>
      <c r="AO90" s="351">
        <f t="shared" si="424"/>
        <v>58705</v>
      </c>
      <c r="AP90" s="351">
        <f t="shared" si="424"/>
        <v>60579</v>
      </c>
      <c r="AQ90" s="351">
        <f t="shared" si="424"/>
        <v>60579</v>
      </c>
      <c r="AR90" s="351">
        <f t="shared" si="424"/>
        <v>61665</v>
      </c>
      <c r="AS90" s="351">
        <f t="shared" si="424"/>
        <v>63098</v>
      </c>
      <c r="AT90" s="351">
        <f t="shared" si="424"/>
        <v>67574</v>
      </c>
      <c r="AU90" s="351">
        <f t="shared" si="424"/>
        <v>64850</v>
      </c>
      <c r="AV90" s="354">
        <f t="shared" ref="AV90" si="425">+AV82+AV83-AV86</f>
        <v>64090</v>
      </c>
      <c r="AW90" s="354">
        <f t="shared" ref="AW90:BA90" si="426">+AW82+AW83-AW86</f>
        <v>63676</v>
      </c>
      <c r="AX90" s="354">
        <f t="shared" ref="AX90" si="427">+AX82+AX83-AX86</f>
        <v>64357</v>
      </c>
      <c r="AY90" s="354">
        <f t="shared" ref="AY90" si="428">+AY82+AY83-AY86</f>
        <v>64103</v>
      </c>
      <c r="AZ90" s="354">
        <f t="shared" si="426"/>
        <v>62854</v>
      </c>
      <c r="BA90" s="354">
        <f t="shared" si="426"/>
        <v>60038</v>
      </c>
      <c r="BB90" s="354">
        <f t="shared" ref="BB90:BC90" si="429">+BB82+BB83-BB86</f>
        <v>62217</v>
      </c>
      <c r="BC90" s="354">
        <f t="shared" si="429"/>
        <v>58268</v>
      </c>
      <c r="BD90" s="354">
        <f t="shared" ref="BD90:BE90" si="430">+BD82+BD83-BD86</f>
        <v>57743</v>
      </c>
      <c r="BE90" s="354">
        <f t="shared" si="430"/>
        <v>53112</v>
      </c>
      <c r="BF90" s="354">
        <f t="shared" ref="BF90:BH90" si="431">+BF82+BF83-BF86</f>
        <v>48279</v>
      </c>
      <c r="BG90" s="354">
        <f t="shared" si="431"/>
        <v>44793</v>
      </c>
      <c r="BH90" s="354">
        <f t="shared" si="431"/>
        <v>42616</v>
      </c>
      <c r="BI90" s="354">
        <f t="shared" ref="BI90:BK90" si="432">+BI82+BI83-BI86</f>
        <v>36236</v>
      </c>
      <c r="BJ90" s="354">
        <f t="shared" si="432"/>
        <v>32603</v>
      </c>
      <c r="BK90" s="354">
        <f t="shared" si="432"/>
        <v>32310</v>
      </c>
      <c r="BL90" s="354">
        <f t="shared" ref="BL90:BP90" si="433">+BL82+BL83-BL86</f>
        <v>30183</v>
      </c>
      <c r="BM90" s="354">
        <f t="shared" si="433"/>
        <v>27208</v>
      </c>
      <c r="BN90" s="354">
        <f t="shared" ref="BN90:BO90" si="434">+BN82+BN83-BN86</f>
        <v>27508</v>
      </c>
      <c r="BO90" s="354">
        <f t="shared" si="434"/>
        <v>29716</v>
      </c>
      <c r="BP90" s="354">
        <f t="shared" si="433"/>
        <v>29323</v>
      </c>
      <c r="BQ90" s="354">
        <f t="shared" ref="BQ90:BS90" si="435">+BQ82+BQ83-BQ86</f>
        <v>28850</v>
      </c>
      <c r="BR90" s="354">
        <f t="shared" si="435"/>
        <v>26238</v>
      </c>
      <c r="BS90" s="354">
        <f t="shared" si="435"/>
        <v>24504</v>
      </c>
      <c r="BT90" s="354">
        <f t="shared" ref="BT90:BU90" si="436">+BT82+BT83-BT86</f>
        <v>23017</v>
      </c>
      <c r="BU90" s="354">
        <f t="shared" si="436"/>
        <v>23405</v>
      </c>
      <c r="BV90" s="354">
        <f t="shared" ref="BV90:BZ90" si="437">+BV82+BV83-BV86</f>
        <v>21599.494564999997</v>
      </c>
      <c r="BW90" s="354">
        <f t="shared" si="437"/>
        <v>21017.37478025</v>
      </c>
      <c r="BX90" s="354">
        <f t="shared" si="437"/>
        <v>21654.984552225</v>
      </c>
      <c r="BY90" s="354">
        <f t="shared" si="437"/>
        <v>22302.762197002499</v>
      </c>
      <c r="BZ90" s="354">
        <f t="shared" si="437"/>
        <v>22302.762197002499</v>
      </c>
      <c r="CA90" s="354">
        <f t="shared" ref="CA90:CE90" si="438">+CA82+CA83-CA86</f>
        <v>20831.044349452124</v>
      </c>
      <c r="CB90" s="354">
        <f t="shared" si="438"/>
        <v>19602.288169034306</v>
      </c>
      <c r="CC90" s="354">
        <f t="shared" si="438"/>
        <v>19185.818978750191</v>
      </c>
      <c r="CD90" s="354">
        <f t="shared" si="438"/>
        <v>18871.569145300167</v>
      </c>
      <c r="CE90" s="354">
        <f t="shared" si="438"/>
        <v>18871.569145300167</v>
      </c>
    </row>
    <row r="91" spans="2:83" ht="13.35" hidden="1" customHeight="1" outlineLevel="1">
      <c r="B91" s="166"/>
      <c r="C91" s="315"/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351"/>
      <c r="AA91" s="351"/>
      <c r="AB91" s="351"/>
      <c r="AC91" s="351"/>
      <c r="AD91" s="351"/>
      <c r="AE91" s="351"/>
      <c r="AF91" s="351"/>
      <c r="AG91" s="351"/>
      <c r="AH91" s="351"/>
      <c r="AI91" s="351"/>
      <c r="AJ91" s="351"/>
      <c r="AK91" s="351"/>
      <c r="AL91" s="351"/>
      <c r="AM91" s="351"/>
      <c r="AN91" s="351"/>
      <c r="AO91" s="351"/>
      <c r="AP91" s="351"/>
      <c r="AQ91" s="351"/>
      <c r="AR91" s="351"/>
      <c r="AS91" s="351"/>
      <c r="AT91" s="351"/>
      <c r="AU91" s="315"/>
      <c r="AV91" s="315"/>
      <c r="AW91" s="315"/>
      <c r="AX91" s="315"/>
      <c r="AY91" s="315"/>
      <c r="AZ91" s="315"/>
      <c r="BA91" s="315"/>
      <c r="BB91" s="315"/>
      <c r="BC91" s="315"/>
      <c r="BD91" s="315"/>
      <c r="BE91" s="315"/>
      <c r="BF91" s="315"/>
      <c r="BG91" s="315"/>
      <c r="BH91" s="315"/>
      <c r="BI91" s="315"/>
      <c r="BJ91" s="315"/>
      <c r="BK91" s="315"/>
      <c r="BL91" s="315"/>
      <c r="BM91" s="315"/>
      <c r="BN91" s="315"/>
      <c r="BO91" s="315"/>
      <c r="BP91" s="315"/>
      <c r="BQ91" s="315"/>
      <c r="BR91" s="315"/>
      <c r="BS91" s="315"/>
      <c r="BT91" s="315"/>
      <c r="BU91" s="315"/>
      <c r="BV91" s="315"/>
      <c r="BW91" s="315"/>
      <c r="BX91" s="315"/>
      <c r="BY91" s="315"/>
      <c r="BZ91" s="315"/>
      <c r="CA91" s="315"/>
      <c r="CB91" s="315"/>
      <c r="CC91" s="315"/>
      <c r="CD91" s="315"/>
      <c r="CE91" s="315"/>
    </row>
    <row r="92" spans="2:83" ht="13.35" customHeight="1" collapsed="1">
      <c r="B92" s="166"/>
      <c r="C92" s="315"/>
      <c r="D92" s="351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351"/>
      <c r="AA92" s="351"/>
      <c r="AB92" s="351"/>
      <c r="AC92" s="351"/>
      <c r="AD92" s="351"/>
      <c r="AE92" s="351"/>
      <c r="AF92" s="351"/>
      <c r="AG92" s="351"/>
      <c r="AH92" s="351"/>
      <c r="AI92" s="351"/>
      <c r="AJ92" s="351"/>
      <c r="AK92" s="351"/>
      <c r="AL92" s="351"/>
      <c r="AM92" s="351"/>
      <c r="AN92" s="351"/>
      <c r="AO92" s="351"/>
      <c r="AP92" s="351"/>
      <c r="AQ92" s="351"/>
      <c r="AR92" s="351"/>
      <c r="AS92" s="351"/>
      <c r="AT92" s="351"/>
      <c r="AU92" s="315"/>
      <c r="AV92" s="315"/>
      <c r="AW92" s="315"/>
      <c r="AX92" s="315"/>
      <c r="AY92" s="315"/>
      <c r="AZ92" s="315"/>
      <c r="BA92" s="315"/>
      <c r="BB92" s="315"/>
      <c r="BC92" s="315"/>
      <c r="BD92" s="315"/>
      <c r="BE92" s="315"/>
      <c r="BF92" s="315"/>
      <c r="BG92" s="315"/>
      <c r="BH92" s="315"/>
      <c r="BI92" s="315"/>
      <c r="BJ92" s="315"/>
      <c r="BK92" s="315"/>
      <c r="BL92" s="315"/>
      <c r="BM92" s="315"/>
      <c r="BN92" s="315"/>
      <c r="BO92" s="315"/>
      <c r="BP92" s="315"/>
      <c r="BQ92" s="315"/>
      <c r="BR92" s="315"/>
      <c r="BS92" s="315"/>
      <c r="BT92" s="315"/>
      <c r="BU92" s="315"/>
      <c r="BV92" s="315"/>
      <c r="BW92" s="315"/>
      <c r="BX92" s="315"/>
      <c r="BY92" s="315"/>
      <c r="BZ92" s="315"/>
      <c r="CA92" s="315"/>
      <c r="CB92" s="315"/>
      <c r="CC92" s="315"/>
      <c r="CD92" s="315"/>
      <c r="CE92" s="315"/>
    </row>
    <row r="93" spans="2:83" ht="13.35" customHeight="1">
      <c r="B93" s="294" t="s">
        <v>254</v>
      </c>
      <c r="C93" s="315"/>
      <c r="D93" s="351"/>
      <c r="E93" s="351"/>
      <c r="F93" s="351"/>
      <c r="G93" s="351"/>
      <c r="H93" s="351"/>
      <c r="I93" s="351"/>
      <c r="J93" s="378">
        <v>2704</v>
      </c>
      <c r="K93" s="351"/>
      <c r="L93" s="351">
        <f>+K18</f>
        <v>0</v>
      </c>
      <c r="M93" s="351">
        <f>+H18</f>
        <v>2811</v>
      </c>
      <c r="N93" s="351">
        <f>+L18</f>
        <v>2394</v>
      </c>
      <c r="O93" s="351">
        <f>+N18</f>
        <v>2296</v>
      </c>
      <c r="P93" s="351">
        <f>+O18</f>
        <v>2198</v>
      </c>
      <c r="Q93" s="351">
        <f>+P18</f>
        <v>2099</v>
      </c>
      <c r="R93" s="351">
        <f>+M18</f>
        <v>2394</v>
      </c>
      <c r="S93" s="351">
        <f>+Q18</f>
        <v>2001</v>
      </c>
      <c r="T93" s="351">
        <f>+S18</f>
        <v>1903</v>
      </c>
      <c r="U93" s="351">
        <f>+T18</f>
        <v>1805</v>
      </c>
      <c r="V93" s="351">
        <f>+U18</f>
        <v>1708</v>
      </c>
      <c r="W93" s="351">
        <f>+R18</f>
        <v>2001</v>
      </c>
      <c r="X93" s="351">
        <f>+V18</f>
        <v>1360</v>
      </c>
      <c r="Y93" s="351">
        <f>+X18</f>
        <v>1267</v>
      </c>
      <c r="Z93" s="351">
        <f>+Y18</f>
        <v>1174</v>
      </c>
      <c r="AA93" s="351">
        <f>+Z18</f>
        <v>1080</v>
      </c>
      <c r="AB93" s="351">
        <f>+W18</f>
        <v>1360</v>
      </c>
      <c r="AC93" s="351">
        <f>+AA18</f>
        <v>987</v>
      </c>
      <c r="AD93" s="351">
        <f>+AC18</f>
        <v>894</v>
      </c>
      <c r="AE93" s="351">
        <f>+AD18</f>
        <v>801</v>
      </c>
      <c r="AF93" s="351">
        <f>+AE18</f>
        <v>5801</v>
      </c>
      <c r="AG93" s="351">
        <f>+AB18</f>
        <v>987</v>
      </c>
      <c r="AH93" s="351">
        <f>+AF18</f>
        <v>12401</v>
      </c>
      <c r="AI93" s="351">
        <f>+AH18</f>
        <v>11769</v>
      </c>
      <c r="AJ93" s="351">
        <f>+AI18</f>
        <v>14605</v>
      </c>
      <c r="AK93" s="351">
        <f>+AJ18</f>
        <v>13741</v>
      </c>
      <c r="AL93" s="351">
        <f>+AG18</f>
        <v>12401</v>
      </c>
      <c r="AM93" s="351">
        <f>+AK18</f>
        <v>21976</v>
      </c>
      <c r="AN93" s="351">
        <f>+AM18</f>
        <v>21356</v>
      </c>
      <c r="AO93" s="351">
        <f>+AN18</f>
        <v>19836</v>
      </c>
      <c r="AP93" s="351">
        <f>+AO18</f>
        <v>18316</v>
      </c>
      <c r="AQ93" s="351">
        <f>+AL18</f>
        <v>21976</v>
      </c>
      <c r="AR93" s="351">
        <f>+AP18</f>
        <v>16795</v>
      </c>
      <c r="AS93" s="351">
        <f>+AR18</f>
        <v>15275</v>
      </c>
      <c r="AT93" s="351">
        <f>+AS18</f>
        <v>13755</v>
      </c>
      <c r="AU93" s="351">
        <f>+AT18</f>
        <v>13651</v>
      </c>
      <c r="AV93" s="354">
        <f>+AQ18</f>
        <v>16795</v>
      </c>
      <c r="AW93" s="351">
        <f>+AU18</f>
        <v>12006</v>
      </c>
      <c r="AX93" s="351">
        <f>+AV18</f>
        <v>12006</v>
      </c>
      <c r="AY93" s="354">
        <f>+AX18</f>
        <v>8715</v>
      </c>
      <c r="AZ93" s="354">
        <f>+AY18</f>
        <v>8250</v>
      </c>
      <c r="BA93" s="354">
        <f>+AV18</f>
        <v>12006</v>
      </c>
      <c r="BB93" s="351">
        <f>+AZ18</f>
        <v>6545</v>
      </c>
      <c r="BC93" s="351">
        <f>+BA18</f>
        <v>6545</v>
      </c>
      <c r="BD93" s="351">
        <f>+BB18</f>
        <v>4839</v>
      </c>
      <c r="BE93" s="354">
        <f>+BD18</f>
        <v>2019</v>
      </c>
      <c r="BF93" s="354">
        <f>+BA18</f>
        <v>6545</v>
      </c>
      <c r="BG93" s="351">
        <f>+BE18</f>
        <v>12801</v>
      </c>
      <c r="BH93" s="351">
        <f>+BF18</f>
        <v>12801</v>
      </c>
      <c r="BI93" s="354">
        <f>+BH18</f>
        <v>11258</v>
      </c>
      <c r="BJ93" s="354">
        <f>+BI18</f>
        <v>10486</v>
      </c>
      <c r="BK93" s="354">
        <f>+BF18</f>
        <v>12801</v>
      </c>
      <c r="BL93" s="354">
        <f>+BJ18</f>
        <v>9715</v>
      </c>
      <c r="BM93" s="354">
        <f>+BL18</f>
        <v>8943</v>
      </c>
      <c r="BN93" s="354">
        <f>+BM18</f>
        <v>8172</v>
      </c>
      <c r="BO93" s="354">
        <f>+BN18</f>
        <v>7451</v>
      </c>
      <c r="BP93" s="354">
        <f>+BK18</f>
        <v>9715</v>
      </c>
      <c r="BQ93" s="354">
        <f>+BO18</f>
        <v>6812</v>
      </c>
      <c r="BR93" s="354">
        <f>+BQ18</f>
        <v>6172</v>
      </c>
      <c r="BS93" s="354">
        <f>+BR18</f>
        <v>5533</v>
      </c>
      <c r="BT93" s="354">
        <f>+BS18</f>
        <v>4894</v>
      </c>
      <c r="BU93" s="354">
        <f>+BP18</f>
        <v>6812</v>
      </c>
      <c r="BV93" s="354">
        <f>+BT18</f>
        <v>4255</v>
      </c>
      <c r="BW93" s="354">
        <f>+BV18</f>
        <v>3616.75</v>
      </c>
      <c r="BX93" s="354">
        <f>+BW18</f>
        <v>3074.2375000000002</v>
      </c>
      <c r="BY93" s="354">
        <f>+BX18</f>
        <v>2613.1018750000003</v>
      </c>
      <c r="BZ93" s="354">
        <f>+BU18</f>
        <v>4255</v>
      </c>
      <c r="CA93" s="354">
        <f>+BY18</f>
        <v>2221.1365937500004</v>
      </c>
      <c r="CB93" s="354">
        <f>+CA18</f>
        <v>1776.9092750000004</v>
      </c>
      <c r="CC93" s="354">
        <f>+CB18</f>
        <v>1421.5274200000003</v>
      </c>
      <c r="CD93" s="354">
        <f>+CC18</f>
        <v>1137.2219360000004</v>
      </c>
      <c r="CE93" s="354">
        <f>+BZ18</f>
        <v>2221.1365937500004</v>
      </c>
    </row>
    <row r="94" spans="2:83" ht="13.35" customHeight="1">
      <c r="B94" s="166" t="s">
        <v>255</v>
      </c>
      <c r="C94" s="315"/>
      <c r="D94" s="351"/>
      <c r="E94" s="351"/>
      <c r="F94" s="351"/>
      <c r="G94" s="351">
        <f>+CF!G35*-1</f>
        <v>0</v>
      </c>
      <c r="H94" s="351">
        <f>+CF!H35*-1</f>
        <v>49</v>
      </c>
      <c r="I94" s="351"/>
      <c r="J94" s="351"/>
      <c r="K94" s="351">
        <f>+CF!K35*-1</f>
        <v>0</v>
      </c>
      <c r="L94" s="351">
        <f>+CF!L35*-1</f>
        <v>0</v>
      </c>
      <c r="M94" s="351">
        <f>+CF!M35*-1</f>
        <v>0</v>
      </c>
      <c r="N94" s="351">
        <f>+CF!N35*-1</f>
        <v>0</v>
      </c>
      <c r="O94" s="351">
        <f>+CF!O35*-1</f>
        <v>0</v>
      </c>
      <c r="P94" s="351">
        <f>+CF!P35*-1</f>
        <v>0</v>
      </c>
      <c r="Q94" s="351">
        <f>+CF!Q35*-1</f>
        <v>0</v>
      </c>
      <c r="R94" s="351">
        <f>+CF!R35*-1</f>
        <v>0</v>
      </c>
      <c r="S94" s="351">
        <f>+CF!S35*-1</f>
        <v>0</v>
      </c>
      <c r="T94" s="351">
        <f>+CF!T35*-1</f>
        <v>0</v>
      </c>
      <c r="U94" s="351">
        <f>+CF!U35*-1</f>
        <v>0</v>
      </c>
      <c r="V94" s="351">
        <f>+CF!V35*-1</f>
        <v>0</v>
      </c>
      <c r="W94" s="351">
        <f>+CF!W35*-1</f>
        <v>0</v>
      </c>
      <c r="X94" s="351">
        <f>+CF!X35*-1</f>
        <v>0</v>
      </c>
      <c r="Y94" s="351">
        <f>+CF!Y35*-1</f>
        <v>0</v>
      </c>
      <c r="Z94" s="351">
        <f>+CF!Z35*-1</f>
        <v>0</v>
      </c>
      <c r="AA94" s="351">
        <f>+CF!AA35*-1</f>
        <v>0</v>
      </c>
      <c r="AB94" s="351">
        <f>+CF!AB35*-1</f>
        <v>0</v>
      </c>
      <c r="AC94" s="351">
        <f>+CF!AC35*-1</f>
        <v>0</v>
      </c>
      <c r="AD94" s="351">
        <f>+CF!AD35*-1</f>
        <v>0</v>
      </c>
      <c r="AE94" s="351">
        <f>+CF!AE35*-1</f>
        <v>0</v>
      </c>
      <c r="AF94" s="351">
        <f>+CF!AF35*-1</f>
        <v>0</v>
      </c>
      <c r="AG94" s="351">
        <f>+CF!AG35*-1</f>
        <v>0</v>
      </c>
      <c r="AH94" s="351">
        <f>+CF!AH35*-1</f>
        <v>0</v>
      </c>
      <c r="AI94" s="351">
        <f>+CF!AI35*-1</f>
        <v>0</v>
      </c>
      <c r="AJ94" s="351">
        <f>+CF!AJ35*-1</f>
        <v>0</v>
      </c>
      <c r="AK94" s="351">
        <f>+CF!AK35*-1</f>
        <v>0</v>
      </c>
      <c r="AL94" s="351">
        <f>+CF!AL35*-1</f>
        <v>0</v>
      </c>
      <c r="AM94" s="351">
        <f>+CF!AM35*-1</f>
        <v>0</v>
      </c>
      <c r="AN94" s="351">
        <f>+CF!AN35*-1</f>
        <v>0</v>
      </c>
      <c r="AO94" s="351">
        <f>+CF!AO35*-1</f>
        <v>625</v>
      </c>
      <c r="AP94" s="351">
        <f>+CF!AP35*-1</f>
        <v>0</v>
      </c>
      <c r="AQ94" s="351">
        <f>+CF!AQ35*-1</f>
        <v>625</v>
      </c>
      <c r="AR94" s="351">
        <f>+CF!AR35*-1</f>
        <v>0</v>
      </c>
      <c r="AS94" s="351">
        <f>+CF!AS35*-1</f>
        <v>0</v>
      </c>
      <c r="AT94" s="351">
        <f>+CF!AT35*-1</f>
        <v>0</v>
      </c>
      <c r="AU94" s="351">
        <f>+CF!AU35*-1</f>
        <v>-419</v>
      </c>
      <c r="AV94" s="354">
        <f>+SUM(AR94:AU94)</f>
        <v>-419</v>
      </c>
      <c r="AW94" s="351">
        <f>+CF!AW35*-1</f>
        <v>0</v>
      </c>
      <c r="AX94" s="351">
        <f>+CF!AX35*-1</f>
        <v>-6</v>
      </c>
      <c r="AY94" s="351">
        <f>+CF!AY35*-1</f>
        <v>0</v>
      </c>
      <c r="AZ94" s="351">
        <f>+CF!AZ35*-1</f>
        <v>1236</v>
      </c>
      <c r="BA94" s="354">
        <f>+SUM(AW94:AZ94)</f>
        <v>1230</v>
      </c>
      <c r="BB94" s="351">
        <f>+CF!BB35*-1</f>
        <v>0</v>
      </c>
      <c r="BC94" s="351">
        <f>+CF!BC35*-1</f>
        <v>0</v>
      </c>
      <c r="BD94" s="351">
        <f>+CF!BD35*-1</f>
        <v>120</v>
      </c>
      <c r="BE94" s="351">
        <f>+CF!BE35*-1</f>
        <v>8500</v>
      </c>
      <c r="BF94" s="354">
        <f>+SUM(BB94:BE94)</f>
        <v>8620</v>
      </c>
      <c r="BG94" s="351">
        <f>+CF!BG35*-1</f>
        <v>0</v>
      </c>
      <c r="BH94" s="351">
        <f>+CF!BH35*-1</f>
        <v>0</v>
      </c>
      <c r="BI94" s="351">
        <f>+CF!BI35*-1</f>
        <v>0</v>
      </c>
      <c r="BJ94" s="351">
        <f>+CF!BJ35*-1</f>
        <v>0</v>
      </c>
      <c r="BK94" s="354">
        <f>+SUM(BG94:BJ94)</f>
        <v>0</v>
      </c>
      <c r="BL94" s="351">
        <f>+CF!BL35*-1</f>
        <v>0</v>
      </c>
      <c r="BM94" s="351">
        <f>+CF!BM35*-1</f>
        <v>0</v>
      </c>
      <c r="BN94" s="351">
        <f>+CF!BN35*-1</f>
        <v>0</v>
      </c>
      <c r="BO94" s="351">
        <f>+CF!BO35*-1</f>
        <v>0</v>
      </c>
      <c r="BP94" s="354">
        <f>+SUM(BL94:BO94)</f>
        <v>0</v>
      </c>
      <c r="BQ94" s="351">
        <f>+CF!BQ35*-1</f>
        <v>0</v>
      </c>
      <c r="BR94" s="351">
        <f>+CF!BR35*-1</f>
        <v>0</v>
      </c>
      <c r="BS94" s="351">
        <f>+CF!BS35*-1</f>
        <v>0</v>
      </c>
      <c r="BT94" s="351">
        <f>+CF!BT35*-1</f>
        <v>0</v>
      </c>
      <c r="BU94" s="354">
        <f>+SUM(BQ94:BT94)</f>
        <v>0</v>
      </c>
      <c r="BV94" s="354">
        <f t="shared" ref="BV94:CD94" si="439">+BV95*BV$58</f>
        <v>0</v>
      </c>
      <c r="BW94" s="354">
        <f t="shared" si="439"/>
        <v>0</v>
      </c>
      <c r="BX94" s="354">
        <f t="shared" si="439"/>
        <v>0</v>
      </c>
      <c r="BY94" s="354">
        <f t="shared" si="439"/>
        <v>0</v>
      </c>
      <c r="BZ94" s="354">
        <f>+SUM(BV94:BY94)</f>
        <v>0</v>
      </c>
      <c r="CA94" s="354">
        <f t="shared" si="439"/>
        <v>0</v>
      </c>
      <c r="CB94" s="354">
        <f t="shared" si="439"/>
        <v>0</v>
      </c>
      <c r="CC94" s="354">
        <f t="shared" si="439"/>
        <v>0</v>
      </c>
      <c r="CD94" s="354">
        <f t="shared" si="439"/>
        <v>0</v>
      </c>
      <c r="CE94" s="354">
        <f>+SUM(CA94:CD94)</f>
        <v>0</v>
      </c>
    </row>
    <row r="95" spans="2:83" ht="13.35" customHeight="1">
      <c r="B95" s="166" t="s">
        <v>256</v>
      </c>
      <c r="C95" s="315"/>
      <c r="D95" s="347"/>
      <c r="E95" s="347"/>
      <c r="F95" s="347"/>
      <c r="G95" s="347">
        <f t="shared" ref="G95:AD95" si="440">+G94/G$58</f>
        <v>0</v>
      </c>
      <c r="H95" s="347">
        <f t="shared" si="440"/>
        <v>5.3598774885145483E-4</v>
      </c>
      <c r="I95" s="347"/>
      <c r="J95" s="347"/>
      <c r="K95" s="347">
        <f t="shared" si="440"/>
        <v>0</v>
      </c>
      <c r="L95" s="347">
        <f t="shared" si="440"/>
        <v>0</v>
      </c>
      <c r="M95" s="347">
        <f t="shared" si="440"/>
        <v>0</v>
      </c>
      <c r="N95" s="347">
        <f t="shared" si="440"/>
        <v>0</v>
      </c>
      <c r="O95" s="347">
        <f t="shared" si="440"/>
        <v>0</v>
      </c>
      <c r="P95" s="347">
        <f t="shared" si="440"/>
        <v>0</v>
      </c>
      <c r="Q95" s="347">
        <f t="shared" si="440"/>
        <v>0</v>
      </c>
      <c r="R95" s="347">
        <f t="shared" si="440"/>
        <v>0</v>
      </c>
      <c r="S95" s="347">
        <f t="shared" si="440"/>
        <v>0</v>
      </c>
      <c r="T95" s="347">
        <f t="shared" si="440"/>
        <v>0</v>
      </c>
      <c r="U95" s="347">
        <f t="shared" si="440"/>
        <v>0</v>
      </c>
      <c r="V95" s="347">
        <f t="shared" si="440"/>
        <v>0</v>
      </c>
      <c r="W95" s="347">
        <f t="shared" si="440"/>
        <v>0</v>
      </c>
      <c r="X95" s="347">
        <f t="shared" si="440"/>
        <v>0</v>
      </c>
      <c r="Y95" s="347">
        <f t="shared" si="440"/>
        <v>0</v>
      </c>
      <c r="Z95" s="347">
        <f t="shared" si="440"/>
        <v>0</v>
      </c>
      <c r="AA95" s="347">
        <f t="shared" si="440"/>
        <v>0</v>
      </c>
      <c r="AB95" s="347">
        <f t="shared" si="440"/>
        <v>0</v>
      </c>
      <c r="AC95" s="347">
        <f t="shared" si="440"/>
        <v>0</v>
      </c>
      <c r="AD95" s="347">
        <f t="shared" si="440"/>
        <v>0</v>
      </c>
      <c r="AE95" s="347">
        <f t="shared" ref="AE95:AI95" si="441">+AE94/AE$58</f>
        <v>0</v>
      </c>
      <c r="AF95" s="347">
        <f t="shared" si="441"/>
        <v>0</v>
      </c>
      <c r="AG95" s="347">
        <f t="shared" si="441"/>
        <v>0</v>
      </c>
      <c r="AH95" s="347">
        <f t="shared" si="441"/>
        <v>0</v>
      </c>
      <c r="AI95" s="347">
        <f t="shared" si="441"/>
        <v>0</v>
      </c>
      <c r="AJ95" s="347">
        <f t="shared" ref="AJ95:AM95" si="442">+AJ94/AJ$58</f>
        <v>0</v>
      </c>
      <c r="AK95" s="347">
        <f t="shared" si="442"/>
        <v>0</v>
      </c>
      <c r="AL95" s="347">
        <f t="shared" si="442"/>
        <v>0</v>
      </c>
      <c r="AM95" s="347">
        <f t="shared" si="442"/>
        <v>0</v>
      </c>
      <c r="AN95" s="347">
        <f>+AN94/AN$58</f>
        <v>0</v>
      </c>
      <c r="AO95" s="347">
        <f t="shared" ref="AO95:AR95" si="443">+AO94/AO$58</f>
        <v>7.5600875760544811E-3</v>
      </c>
      <c r="AP95" s="347">
        <f t="shared" si="443"/>
        <v>0</v>
      </c>
      <c r="AQ95" s="347">
        <f t="shared" si="443"/>
        <v>1.9433656605733084E-3</v>
      </c>
      <c r="AR95" s="347">
        <f t="shared" si="443"/>
        <v>0</v>
      </c>
      <c r="AS95" s="347">
        <f>+AS94/AS$58</f>
        <v>0</v>
      </c>
      <c r="AT95" s="347">
        <f t="shared" ref="AT95" si="444">+AT94/AT$58</f>
        <v>0</v>
      </c>
      <c r="AU95" s="347">
        <f t="shared" ref="AU95" si="445">+AU94/AU$58</f>
        <v>-4.4197846014282548E-3</v>
      </c>
      <c r="AV95" s="340">
        <f t="shared" ref="AV95:AW95" si="446">+AV94/AV$58</f>
        <v>-1.1543876373073839E-3</v>
      </c>
      <c r="AW95" s="347">
        <f t="shared" si="446"/>
        <v>0</v>
      </c>
      <c r="AX95" s="347">
        <f t="shared" ref="AX95:AY95" si="447">+AX94/AX$58</f>
        <v>-6.0179334416561352E-5</v>
      </c>
      <c r="AY95" s="347">
        <f t="shared" si="447"/>
        <v>0</v>
      </c>
      <c r="AZ95" s="347">
        <f t="shared" ref="AZ95" si="448">+AZ94/AZ$58</f>
        <v>1.1258881399161961E-2</v>
      </c>
      <c r="BA95" s="340">
        <f t="shared" ref="BA95:BC95" si="449">+BA94/BA$58</f>
        <v>2.9914488340645764E-3</v>
      </c>
      <c r="BB95" s="347">
        <f t="shared" si="449"/>
        <v>0</v>
      </c>
      <c r="BC95" s="347">
        <f t="shared" si="449"/>
        <v>0</v>
      </c>
      <c r="BD95" s="347">
        <f t="shared" ref="BD95:BE95" si="450">+BD94/BD$58</f>
        <v>9.5571077006395295E-4</v>
      </c>
      <c r="BE95" s="347">
        <f t="shared" si="450"/>
        <v>6.4960374171755222E-2</v>
      </c>
      <c r="BF95" s="340">
        <f t="shared" ref="BF95:BL95" si="451">+BF94/BF$58</f>
        <v>1.760178713272605E-2</v>
      </c>
      <c r="BG95" s="347">
        <f t="shared" si="451"/>
        <v>0</v>
      </c>
      <c r="BH95" s="347">
        <f t="shared" si="451"/>
        <v>0</v>
      </c>
      <c r="BI95" s="347">
        <f t="shared" si="451"/>
        <v>0</v>
      </c>
      <c r="BJ95" s="347">
        <f t="shared" si="451"/>
        <v>0</v>
      </c>
      <c r="BK95" s="340">
        <f t="shared" ref="BK95" si="452">+BK94/BK$58</f>
        <v>0</v>
      </c>
      <c r="BL95" s="347">
        <f t="shared" si="451"/>
        <v>0</v>
      </c>
      <c r="BM95" s="347">
        <f t="shared" ref="BM95:BN95" si="453">+BM94/BM$58</f>
        <v>0</v>
      </c>
      <c r="BN95" s="347">
        <f t="shared" si="453"/>
        <v>0</v>
      </c>
      <c r="BO95" s="347">
        <f t="shared" ref="BO95" si="454">+BO94/BO$58</f>
        <v>0</v>
      </c>
      <c r="BP95" s="340">
        <f t="shared" ref="BP95:BT95" si="455">+BP94/BP$58</f>
        <v>0</v>
      </c>
      <c r="BQ95" s="347">
        <f t="shared" si="455"/>
        <v>0</v>
      </c>
      <c r="BR95" s="347">
        <f t="shared" si="455"/>
        <v>0</v>
      </c>
      <c r="BS95" s="347">
        <f t="shared" si="455"/>
        <v>0</v>
      </c>
      <c r="BT95" s="347">
        <f t="shared" si="455"/>
        <v>0</v>
      </c>
      <c r="BU95" s="340">
        <f t="shared" ref="BU95" si="456">+BU94/BU$58</f>
        <v>0</v>
      </c>
      <c r="BV95" s="343">
        <v>0</v>
      </c>
      <c r="BW95" s="343">
        <v>0</v>
      </c>
      <c r="BX95" s="343">
        <v>0</v>
      </c>
      <c r="BY95" s="343">
        <v>0</v>
      </c>
      <c r="BZ95" s="340">
        <f t="shared" ref="BZ95" si="457">+BZ94/BZ$58</f>
        <v>0</v>
      </c>
      <c r="CA95" s="343">
        <v>0</v>
      </c>
      <c r="CB95" s="343">
        <v>0</v>
      </c>
      <c r="CC95" s="343">
        <v>0</v>
      </c>
      <c r="CD95" s="343">
        <v>0</v>
      </c>
      <c r="CE95" s="340">
        <f t="shared" ref="CE95" si="458">+CE94/CE$58</f>
        <v>0</v>
      </c>
    </row>
    <row r="96" spans="2:83" ht="13.35" customHeight="1">
      <c r="B96" s="166" t="s">
        <v>257</v>
      </c>
      <c r="C96" s="315"/>
      <c r="D96" s="351"/>
      <c r="E96" s="351"/>
      <c r="F96" s="351"/>
      <c r="G96" s="351">
        <f>+'Billings &amp; Recs'!G79</f>
        <v>115</v>
      </c>
      <c r="H96" s="351">
        <f>+'Billings &amp; Recs'!H79</f>
        <v>446</v>
      </c>
      <c r="I96" s="351"/>
      <c r="J96" s="351"/>
      <c r="K96" s="351">
        <f>+'Billings &amp; Recs'!K79</f>
        <v>210</v>
      </c>
      <c r="L96" s="351">
        <f>+'Billings &amp; Recs'!L79</f>
        <v>-7</v>
      </c>
      <c r="M96" s="351">
        <f>+'Billings &amp; Recs'!M79</f>
        <v>417</v>
      </c>
      <c r="N96" s="351">
        <f>+'Billings &amp; Recs'!N79</f>
        <v>98</v>
      </c>
      <c r="O96" s="351">
        <f>+'Billings &amp; Recs'!O79</f>
        <v>98</v>
      </c>
      <c r="P96" s="351">
        <f>+'Billings &amp; Recs'!P79</f>
        <v>98</v>
      </c>
      <c r="Q96" s="351">
        <f>+'Billings &amp; Recs'!Q79</f>
        <v>99</v>
      </c>
      <c r="R96" s="351">
        <f>+'Billings &amp; Recs'!R79</f>
        <v>393</v>
      </c>
      <c r="S96" s="351">
        <f>+'Billings &amp; Recs'!S79</f>
        <v>98</v>
      </c>
      <c r="T96" s="351">
        <f>+'Billings &amp; Recs'!T79</f>
        <v>98</v>
      </c>
      <c r="U96" s="351">
        <f>+'Billings &amp; Recs'!U79</f>
        <v>97</v>
      </c>
      <c r="V96" s="351">
        <f>+'Billings &amp; Recs'!V79</f>
        <v>93</v>
      </c>
      <c r="W96" s="351">
        <f>+'Billings &amp; Recs'!W79</f>
        <v>386</v>
      </c>
      <c r="X96" s="351">
        <f>+'Billings &amp; Recs'!X79</f>
        <v>110</v>
      </c>
      <c r="Y96" s="351">
        <f>+'Billings &amp; Recs'!Y79</f>
        <v>109</v>
      </c>
      <c r="Z96" s="351">
        <f>+'Billings &amp; Recs'!Z79</f>
        <v>110</v>
      </c>
      <c r="AA96" s="351">
        <f>+'Billings &amp; Recs'!AA79</f>
        <v>44</v>
      </c>
      <c r="AB96" s="351">
        <f>+'Billings &amp; Recs'!AB79</f>
        <v>373</v>
      </c>
      <c r="AC96" s="351">
        <f>+'Billings &amp; Recs'!AC79</f>
        <v>93</v>
      </c>
      <c r="AD96" s="351">
        <f>+'Billings &amp; Recs'!AD79</f>
        <v>109</v>
      </c>
      <c r="AE96" s="351">
        <f>+'Billings &amp; Recs'!AE79</f>
        <v>173</v>
      </c>
      <c r="AF96" s="351">
        <f>+'Billings &amp; Recs'!AF79</f>
        <v>416</v>
      </c>
      <c r="AG96" s="351">
        <f>+'Billings &amp; Recs'!AG79</f>
        <v>791</v>
      </c>
      <c r="AH96" s="351">
        <f>+'Billings &amp; Recs'!AH79</f>
        <v>633</v>
      </c>
      <c r="AI96" s="351">
        <f>+'Billings &amp; Recs'!AI79</f>
        <v>864</v>
      </c>
      <c r="AJ96" s="351">
        <f>+'Billings &amp; Recs'!AJ79</f>
        <v>864</v>
      </c>
      <c r="AK96" s="351">
        <f>+'Billings &amp; Recs'!AK79</f>
        <v>1364</v>
      </c>
      <c r="AL96" s="351">
        <f>+'Billings &amp; Recs'!AL79</f>
        <v>3725</v>
      </c>
      <c r="AM96" s="351">
        <f>+'Billings &amp; Recs'!AM79</f>
        <v>1520</v>
      </c>
      <c r="AN96" s="351">
        <f>+'Billings &amp; Recs'!AN79</f>
        <v>1520</v>
      </c>
      <c r="AO96" s="351">
        <f>+'Billings &amp; Recs'!AO79</f>
        <v>1520</v>
      </c>
      <c r="AP96" s="351">
        <f>+'Billings &amp; Recs'!AP79</f>
        <v>1520</v>
      </c>
      <c r="AQ96" s="351">
        <f>+'Billings &amp; Recs'!AQ79</f>
        <v>6080</v>
      </c>
      <c r="AR96" s="351">
        <f>+'Billings &amp; Recs'!AR79</f>
        <v>1520</v>
      </c>
      <c r="AS96" s="351">
        <f>+'Billings &amp; Recs'!AS79</f>
        <v>1520</v>
      </c>
      <c r="AT96" s="351">
        <f>+'Billings &amp; Recs'!AT79</f>
        <v>1604</v>
      </c>
      <c r="AU96" s="351">
        <f>+'Billings &amp; Recs'!AU79</f>
        <v>1645</v>
      </c>
      <c r="AV96" s="354">
        <f>+SUM(AR96:AU96)</f>
        <v>6289</v>
      </c>
      <c r="AW96" s="351">
        <f>+'Billings &amp; Recs'!AW79</f>
        <v>1645</v>
      </c>
      <c r="AX96" s="351">
        <f>+'Billings &amp; Recs'!AX79</f>
        <v>1646</v>
      </c>
      <c r="AY96" s="351">
        <f>+'Billings &amp; Recs'!AY79</f>
        <v>1665</v>
      </c>
      <c r="AZ96" s="351">
        <f>+'Billings &amp; Recs'!AZ79</f>
        <v>1705</v>
      </c>
      <c r="BA96" s="354">
        <f>+SUM(AW96:AZ96)</f>
        <v>6661</v>
      </c>
      <c r="BB96" s="351">
        <f>+'Billings &amp; Recs'!BB79</f>
        <v>1706</v>
      </c>
      <c r="BC96" s="351">
        <f>+'Billings &amp; Recs'!BC79</f>
        <v>1474</v>
      </c>
      <c r="BD96" s="351">
        <f>+'Billings &amp; Recs'!BD79</f>
        <v>1346</v>
      </c>
      <c r="BE96" s="351">
        <f>+'Billings &amp; Recs'!BE79</f>
        <v>1161</v>
      </c>
      <c r="BF96" s="354">
        <f>+SUM(BB96:BE96)</f>
        <v>5687</v>
      </c>
      <c r="BG96" s="351">
        <f>+'Billings &amp; Recs'!BG79</f>
        <v>772</v>
      </c>
      <c r="BH96" s="351">
        <f>+'Billings &amp; Recs'!BH79</f>
        <v>772</v>
      </c>
      <c r="BI96" s="351">
        <f>+'Billings &amp; Recs'!BI79</f>
        <v>772</v>
      </c>
      <c r="BJ96" s="351">
        <f>+'Billings &amp; Recs'!BJ79</f>
        <v>771</v>
      </c>
      <c r="BK96" s="354">
        <f>+SUM(BG96:BJ96)</f>
        <v>3087</v>
      </c>
      <c r="BL96" s="351">
        <f>+'Billings &amp; Recs'!BL79</f>
        <v>772</v>
      </c>
      <c r="BM96" s="351">
        <f>+'Billings &amp; Recs'!BM79</f>
        <v>771</v>
      </c>
      <c r="BN96" s="351">
        <f>+'Billings &amp; Recs'!BN79</f>
        <v>721</v>
      </c>
      <c r="BO96" s="351">
        <f>+'Billings &amp; Recs'!BO79</f>
        <v>639</v>
      </c>
      <c r="BP96" s="354">
        <f>+SUM(BL96:BO96)</f>
        <v>2903</v>
      </c>
      <c r="BQ96" s="351">
        <f>+'Billings &amp; Recs'!BQ79</f>
        <v>640</v>
      </c>
      <c r="BR96" s="351">
        <f>+'Billings &amp; Recs'!BR79</f>
        <v>639</v>
      </c>
      <c r="BS96" s="351">
        <f>+'Billings &amp; Recs'!BS79</f>
        <v>639</v>
      </c>
      <c r="BT96" s="351">
        <f>+'Billings &amp; Recs'!BT79</f>
        <v>639</v>
      </c>
      <c r="BU96" s="354">
        <f>+SUM(BQ96:BT96)</f>
        <v>2557</v>
      </c>
      <c r="BV96" s="354">
        <f t="shared" ref="BV96:BY96" si="459">BV93*BV97</f>
        <v>638.25</v>
      </c>
      <c r="BW96" s="354">
        <f t="shared" si="459"/>
        <v>542.51249999999993</v>
      </c>
      <c r="BX96" s="354">
        <f t="shared" si="459"/>
        <v>461.135625</v>
      </c>
      <c r="BY96" s="354">
        <f t="shared" si="459"/>
        <v>391.96528125000003</v>
      </c>
      <c r="BZ96" s="354">
        <f>+SUM(BV96:BY96)</f>
        <v>2033.8634062499998</v>
      </c>
      <c r="CA96" s="354">
        <f t="shared" ref="CA96:CD96" si="460">CA93*CA97</f>
        <v>444.22731875000011</v>
      </c>
      <c r="CB96" s="354">
        <f t="shared" si="460"/>
        <v>355.38185500000009</v>
      </c>
      <c r="CC96" s="354">
        <f t="shared" si="460"/>
        <v>284.30548400000009</v>
      </c>
      <c r="CD96" s="354">
        <f t="shared" si="460"/>
        <v>227.44438720000008</v>
      </c>
      <c r="CE96" s="354">
        <f>+SUM(CA96:CD96)</f>
        <v>1311.3590449500005</v>
      </c>
    </row>
    <row r="97" spans="2:83" ht="13.35" customHeight="1">
      <c r="B97" s="166" t="s">
        <v>258</v>
      </c>
      <c r="C97" s="315"/>
      <c r="D97" s="347"/>
      <c r="E97" s="347"/>
      <c r="F97" s="347"/>
      <c r="G97" s="347" t="e">
        <f t="shared" ref="G97:AD97" si="461">+G96/G93</f>
        <v>#DIV/0!</v>
      </c>
      <c r="H97" s="347" t="e">
        <f t="shared" si="461"/>
        <v>#DIV/0!</v>
      </c>
      <c r="I97" s="347"/>
      <c r="J97" s="347"/>
      <c r="K97" s="347" t="e">
        <f t="shared" si="461"/>
        <v>#DIV/0!</v>
      </c>
      <c r="L97" s="347" t="e">
        <f t="shared" si="461"/>
        <v>#DIV/0!</v>
      </c>
      <c r="M97" s="347">
        <f t="shared" si="461"/>
        <v>0.14834578441835647</v>
      </c>
      <c r="N97" s="347">
        <f t="shared" si="461"/>
        <v>4.0935672514619881E-2</v>
      </c>
      <c r="O97" s="347">
        <f t="shared" si="461"/>
        <v>4.2682926829268296E-2</v>
      </c>
      <c r="P97" s="347">
        <f t="shared" si="461"/>
        <v>4.4585987261146494E-2</v>
      </c>
      <c r="Q97" s="347">
        <f t="shared" si="461"/>
        <v>4.7165316817532159E-2</v>
      </c>
      <c r="R97" s="347">
        <f t="shared" si="461"/>
        <v>0.16416040100250626</v>
      </c>
      <c r="S97" s="347">
        <f t="shared" si="461"/>
        <v>4.8975512243878062E-2</v>
      </c>
      <c r="T97" s="347">
        <f t="shared" si="461"/>
        <v>5.1497635312664214E-2</v>
      </c>
      <c r="U97" s="347">
        <f t="shared" si="461"/>
        <v>5.3739612188365649E-2</v>
      </c>
      <c r="V97" s="347">
        <f t="shared" si="461"/>
        <v>5.4449648711943792E-2</v>
      </c>
      <c r="W97" s="347">
        <f t="shared" si="461"/>
        <v>0.19290354822588707</v>
      </c>
      <c r="X97" s="347">
        <f t="shared" si="461"/>
        <v>8.0882352941176475E-2</v>
      </c>
      <c r="Y97" s="347">
        <f t="shared" si="461"/>
        <v>8.6029992107340178E-2</v>
      </c>
      <c r="Z97" s="347">
        <f t="shared" si="461"/>
        <v>9.3696763202725727E-2</v>
      </c>
      <c r="AA97" s="347">
        <f t="shared" si="461"/>
        <v>4.0740740740740744E-2</v>
      </c>
      <c r="AB97" s="347">
        <f t="shared" si="461"/>
        <v>0.27426470588235297</v>
      </c>
      <c r="AC97" s="347">
        <f t="shared" si="461"/>
        <v>9.4224924012158054E-2</v>
      </c>
      <c r="AD97" s="347">
        <f t="shared" si="461"/>
        <v>0.12192393736017897</v>
      </c>
      <c r="AE97" s="347">
        <f t="shared" ref="AE97:AI97" si="462">+AE96/AE93</f>
        <v>0.21598002496878901</v>
      </c>
      <c r="AF97" s="347">
        <f t="shared" si="462"/>
        <v>7.1711773832097911E-2</v>
      </c>
      <c r="AG97" s="347">
        <f t="shared" si="462"/>
        <v>0.8014184397163121</v>
      </c>
      <c r="AH97" s="347">
        <f t="shared" si="462"/>
        <v>5.1044270623336829E-2</v>
      </c>
      <c r="AI97" s="347">
        <f t="shared" si="462"/>
        <v>7.3413204180474131E-2</v>
      </c>
      <c r="AJ97" s="347">
        <f t="shared" ref="AJ97:AN97" si="463">+AJ96/AJ93</f>
        <v>5.9157822663471415E-2</v>
      </c>
      <c r="AK97" s="347">
        <f t="shared" si="463"/>
        <v>9.9264973437158871E-2</v>
      </c>
      <c r="AL97" s="347">
        <f t="shared" si="463"/>
        <v>0.30037900169341181</v>
      </c>
      <c r="AM97" s="347">
        <f t="shared" si="463"/>
        <v>6.9166363305424097E-2</v>
      </c>
      <c r="AN97" s="347">
        <f t="shared" si="463"/>
        <v>7.1174377224199295E-2</v>
      </c>
      <c r="AO97" s="347">
        <f t="shared" ref="AO97:AS97" si="464">+AO96/AO93</f>
        <v>7.662835249042145E-2</v>
      </c>
      <c r="AP97" s="347">
        <f t="shared" si="464"/>
        <v>8.2987551867219914E-2</v>
      </c>
      <c r="AQ97" s="347">
        <f t="shared" si="464"/>
        <v>0.27666545322169639</v>
      </c>
      <c r="AR97" s="347">
        <f t="shared" si="464"/>
        <v>9.0503125930336409E-2</v>
      </c>
      <c r="AS97" s="347">
        <f t="shared" si="464"/>
        <v>9.950900163666121E-2</v>
      </c>
      <c r="AT97" s="347">
        <f t="shared" ref="AT97" si="465">+AT96/AT93</f>
        <v>0.11661214103962196</v>
      </c>
      <c r="AU97" s="347">
        <f t="shared" ref="AU97" si="466">+AU96/AU93</f>
        <v>0.12050399238151051</v>
      </c>
      <c r="AV97" s="340">
        <f t="shared" ref="AV97:AW97" si="467">+AV96/AV93</f>
        <v>0.37445668353676692</v>
      </c>
      <c r="AW97" s="347">
        <f t="shared" si="467"/>
        <v>0.13701482592037315</v>
      </c>
      <c r="AX97" s="347">
        <f t="shared" ref="AX97:AY97" si="468">+AX96/AX93</f>
        <v>0.13709811760786272</v>
      </c>
      <c r="AY97" s="347">
        <f t="shared" si="468"/>
        <v>0.19104991394148021</v>
      </c>
      <c r="AZ97" s="347">
        <f t="shared" ref="AZ97" si="469">+AZ96/AZ93</f>
        <v>0.20666666666666667</v>
      </c>
      <c r="BA97" s="340">
        <f t="shared" ref="BA97:BC97" si="470">+BA96/BA93</f>
        <v>0.55480593036814929</v>
      </c>
      <c r="BB97" s="347">
        <f t="shared" si="470"/>
        <v>0.26065699006875476</v>
      </c>
      <c r="BC97" s="347">
        <f t="shared" si="470"/>
        <v>0.22521008403361345</v>
      </c>
      <c r="BD97" s="347">
        <f t="shared" ref="BD97:BE97" si="471">+BD96/BD93</f>
        <v>0.27815664393469725</v>
      </c>
      <c r="BE97" s="347">
        <f t="shared" si="471"/>
        <v>0.57503714710252596</v>
      </c>
      <c r="BF97" s="340">
        <f t="shared" ref="BF97:BJ97" si="472">+BF96/BF93</f>
        <v>0.86890756302521011</v>
      </c>
      <c r="BG97" s="347">
        <f t="shared" si="472"/>
        <v>6.0307788454027032E-2</v>
      </c>
      <c r="BH97" s="347">
        <f t="shared" si="472"/>
        <v>6.0307788454027032E-2</v>
      </c>
      <c r="BI97" s="347">
        <f t="shared" si="472"/>
        <v>6.8573458873689819E-2</v>
      </c>
      <c r="BJ97" s="347">
        <f t="shared" si="472"/>
        <v>7.3526606904444014E-2</v>
      </c>
      <c r="BK97" s="340">
        <f t="shared" ref="BK97:BL97" si="473">+BK96/BK93</f>
        <v>0.24115303491914694</v>
      </c>
      <c r="BL97" s="347">
        <f t="shared" si="473"/>
        <v>7.9464745239320636E-2</v>
      </c>
      <c r="BM97" s="347">
        <f t="shared" ref="BM97:BN97" si="474">+BM96/BM93</f>
        <v>8.6212680308621267E-2</v>
      </c>
      <c r="BN97" s="347">
        <f t="shared" si="474"/>
        <v>8.822809593734704E-2</v>
      </c>
      <c r="BO97" s="347">
        <f t="shared" ref="BO97" si="475">+BO96/BO93</f>
        <v>8.5760300630787809E-2</v>
      </c>
      <c r="BP97" s="340">
        <f t="shared" ref="BP97:BT97" si="476">+BP96/BP93</f>
        <v>0.29881626351003604</v>
      </c>
      <c r="BQ97" s="347">
        <f t="shared" si="476"/>
        <v>9.3951849677040511E-2</v>
      </c>
      <c r="BR97" s="347">
        <f t="shared" si="476"/>
        <v>0.10353208036292935</v>
      </c>
      <c r="BS97" s="347">
        <f t="shared" si="476"/>
        <v>0.11548888487258269</v>
      </c>
      <c r="BT97" s="347">
        <f t="shared" si="476"/>
        <v>0.13056804250102166</v>
      </c>
      <c r="BU97" s="340">
        <f t="shared" ref="BU97" si="477">+BU96/BU93</f>
        <v>0.37536699941280094</v>
      </c>
      <c r="BV97" s="343">
        <v>0.15</v>
      </c>
      <c r="BW97" s="343">
        <v>0.15</v>
      </c>
      <c r="BX97" s="343">
        <v>0.15</v>
      </c>
      <c r="BY97" s="343">
        <v>0.15</v>
      </c>
      <c r="BZ97" s="340">
        <f t="shared" ref="BZ97" si="478">+BZ96/BZ93</f>
        <v>0.47799374999999994</v>
      </c>
      <c r="CA97" s="343">
        <v>0.2</v>
      </c>
      <c r="CB97" s="343">
        <v>0.2</v>
      </c>
      <c r="CC97" s="343">
        <v>0.2</v>
      </c>
      <c r="CD97" s="343">
        <v>0.2</v>
      </c>
      <c r="CE97" s="340">
        <f t="shared" ref="CE97" si="479">+CE96/CE93</f>
        <v>0.59040000000000004</v>
      </c>
    </row>
    <row r="98" spans="2:83" ht="13.35" customHeight="1">
      <c r="B98" s="166" t="s">
        <v>252</v>
      </c>
      <c r="C98" s="315"/>
      <c r="D98" s="351"/>
      <c r="E98" s="351"/>
      <c r="F98" s="351"/>
      <c r="G98" s="351">
        <f t="shared" ref="G98:AD98" si="480">+(G93+G94-G96-G100)*-1</f>
        <v>2926</v>
      </c>
      <c r="H98" s="351">
        <f t="shared" si="480"/>
        <v>3208</v>
      </c>
      <c r="I98" s="351"/>
      <c r="J98" s="351"/>
      <c r="K98" s="351">
        <f t="shared" si="480"/>
        <v>210</v>
      </c>
      <c r="L98" s="351">
        <f t="shared" si="480"/>
        <v>2387</v>
      </c>
      <c r="M98" s="351">
        <f t="shared" si="480"/>
        <v>0</v>
      </c>
      <c r="N98" s="351">
        <f t="shared" si="480"/>
        <v>0</v>
      </c>
      <c r="O98" s="351">
        <f t="shared" si="480"/>
        <v>0</v>
      </c>
      <c r="P98" s="351">
        <f t="shared" si="480"/>
        <v>-1</v>
      </c>
      <c r="Q98" s="351">
        <f t="shared" si="480"/>
        <v>1</v>
      </c>
      <c r="R98" s="351">
        <f t="shared" si="480"/>
        <v>0</v>
      </c>
      <c r="S98" s="351">
        <f t="shared" si="480"/>
        <v>0</v>
      </c>
      <c r="T98" s="351">
        <f t="shared" si="480"/>
        <v>0</v>
      </c>
      <c r="U98" s="351">
        <f t="shared" si="480"/>
        <v>0</v>
      </c>
      <c r="V98" s="351">
        <f t="shared" si="480"/>
        <v>-255</v>
      </c>
      <c r="W98" s="351">
        <f t="shared" si="480"/>
        <v>-255</v>
      </c>
      <c r="X98" s="351">
        <f t="shared" si="480"/>
        <v>17</v>
      </c>
      <c r="Y98" s="351">
        <f t="shared" si="480"/>
        <v>16</v>
      </c>
      <c r="Z98" s="351">
        <f t="shared" si="480"/>
        <v>16</v>
      </c>
      <c r="AA98" s="351">
        <f t="shared" si="480"/>
        <v>-49</v>
      </c>
      <c r="AB98" s="351">
        <f t="shared" si="480"/>
        <v>0</v>
      </c>
      <c r="AC98" s="351">
        <f t="shared" si="480"/>
        <v>0</v>
      </c>
      <c r="AD98" s="351">
        <f t="shared" si="480"/>
        <v>16</v>
      </c>
      <c r="AE98" s="351">
        <f t="shared" ref="AE98:AI98" si="481">+(AE93+AE94-AE96-AE100)*-1</f>
        <v>5173</v>
      </c>
      <c r="AF98" s="351">
        <f t="shared" si="481"/>
        <v>7016</v>
      </c>
      <c r="AG98" s="351">
        <f t="shared" si="481"/>
        <v>12205</v>
      </c>
      <c r="AH98" s="351">
        <f t="shared" si="481"/>
        <v>1</v>
      </c>
      <c r="AI98" s="351">
        <f t="shared" si="481"/>
        <v>3700</v>
      </c>
      <c r="AJ98" s="351">
        <f t="shared" ref="AJ98:AN98" si="482">+(AJ93+AJ94-AJ96-AJ100)*-1</f>
        <v>0</v>
      </c>
      <c r="AK98" s="351">
        <f t="shared" si="482"/>
        <v>9599</v>
      </c>
      <c r="AL98" s="351">
        <f t="shared" si="482"/>
        <v>13300</v>
      </c>
      <c r="AM98" s="351">
        <f t="shared" si="482"/>
        <v>900</v>
      </c>
      <c r="AN98" s="351">
        <f t="shared" si="482"/>
        <v>0</v>
      </c>
      <c r="AO98" s="351">
        <f t="shared" ref="AO98:AS98" si="483">+(AO93+AO94-AO96-AO100)*-1</f>
        <v>-625</v>
      </c>
      <c r="AP98" s="351">
        <f t="shared" si="483"/>
        <v>-1</v>
      </c>
      <c r="AQ98" s="351">
        <f t="shared" si="483"/>
        <v>274</v>
      </c>
      <c r="AR98" s="351">
        <f t="shared" si="483"/>
        <v>0</v>
      </c>
      <c r="AS98" s="351">
        <f t="shared" si="483"/>
        <v>0</v>
      </c>
      <c r="AT98" s="351">
        <f t="shared" ref="AT98" si="484">+(AT93+AT94-AT96-AT100)*-1</f>
        <v>1500</v>
      </c>
      <c r="AU98" s="351">
        <f t="shared" ref="AU98" si="485">+(AU93+AU94-AU96-AU100)*-1</f>
        <v>419</v>
      </c>
      <c r="AV98" s="354">
        <f t="shared" ref="AV98:AW98" si="486">+(AV93+AV94-AV96-AV100)*-1</f>
        <v>0</v>
      </c>
      <c r="AW98" s="351">
        <f t="shared" si="486"/>
        <v>0</v>
      </c>
      <c r="AX98" s="351">
        <f t="shared" ref="AX98:AY98" si="487">+(AX93+AX94-AX96-AX100)*-1</f>
        <v>-1639</v>
      </c>
      <c r="AY98" s="351">
        <f t="shared" si="487"/>
        <v>0</v>
      </c>
      <c r="AZ98" s="351">
        <f t="shared" ref="AZ98" si="488">+(AZ93+AZ94-AZ96-AZ100)*-1</f>
        <v>0</v>
      </c>
      <c r="BA98" s="354">
        <f t="shared" ref="BA98:BC98" si="489">+(BA93+BA94-BA96-BA100)*-1</f>
        <v>0</v>
      </c>
      <c r="BB98" s="351">
        <f t="shared" si="489"/>
        <v>0</v>
      </c>
      <c r="BC98" s="351">
        <f t="shared" si="489"/>
        <v>-1706</v>
      </c>
      <c r="BD98" s="351">
        <f t="shared" ref="BD98:BE98" si="490">+(BD93+BD94-BD96-BD100)*-1</f>
        <v>-1594</v>
      </c>
      <c r="BE98" s="351">
        <f t="shared" si="490"/>
        <v>0</v>
      </c>
      <c r="BF98" s="354">
        <f t="shared" ref="BF98:BH98" si="491">+(BF93+BF94-BF96-BF100)*-1</f>
        <v>0</v>
      </c>
      <c r="BG98" s="351">
        <f t="shared" si="491"/>
        <v>1</v>
      </c>
      <c r="BH98" s="351">
        <f t="shared" si="491"/>
        <v>-771</v>
      </c>
      <c r="BI98" s="354">
        <f t="shared" ref="BI98:BK98" si="492">+(BI93+BI94-BI96-BI100)*-1</f>
        <v>0</v>
      </c>
      <c r="BJ98" s="354">
        <f t="shared" si="492"/>
        <v>0</v>
      </c>
      <c r="BK98" s="354">
        <f t="shared" si="492"/>
        <v>0</v>
      </c>
      <c r="BL98" s="354">
        <f t="shared" ref="BL98:BP98" si="493">+(BL93+BL94-BL96-BL100)*-1</f>
        <v>0</v>
      </c>
      <c r="BM98" s="354">
        <f t="shared" ref="BM98:BN98" si="494">+(BM93+BM94-BM96-BM100)*-1</f>
        <v>0</v>
      </c>
      <c r="BN98" s="354">
        <f t="shared" si="494"/>
        <v>0</v>
      </c>
      <c r="BO98" s="354">
        <f t="shared" ref="BO98" si="495">+(BO93+BO94-BO96-BO100)*-1</f>
        <v>0</v>
      </c>
      <c r="BP98" s="354">
        <f t="shared" si="493"/>
        <v>0</v>
      </c>
      <c r="BQ98" s="354">
        <f t="shared" ref="BQ98:BS98" si="496">+(BQ93+BQ94-BQ96-BQ100)*-1</f>
        <v>0</v>
      </c>
      <c r="BR98" s="354">
        <f t="shared" si="496"/>
        <v>0</v>
      </c>
      <c r="BS98" s="354">
        <f t="shared" si="496"/>
        <v>0</v>
      </c>
      <c r="BT98" s="354">
        <f t="shared" ref="BT98:BU98" si="497">+(BT93+BT94-BT96-BT100)*-1</f>
        <v>0</v>
      </c>
      <c r="BU98" s="354">
        <f t="shared" si="497"/>
        <v>0</v>
      </c>
      <c r="BV98" s="354">
        <f t="shared" ref="BV98:BZ98" si="498">+(BV93+BV94-BV96-BV100)*-1</f>
        <v>0</v>
      </c>
      <c r="BW98" s="354">
        <f t="shared" si="498"/>
        <v>0</v>
      </c>
      <c r="BX98" s="354">
        <f t="shared" si="498"/>
        <v>0</v>
      </c>
      <c r="BY98" s="354">
        <f t="shared" si="498"/>
        <v>0</v>
      </c>
      <c r="BZ98" s="354">
        <f t="shared" si="498"/>
        <v>0</v>
      </c>
      <c r="CA98" s="354">
        <f t="shared" ref="CA98:CE98" si="499">+(CA93+CA94-CA96-CA100)*-1</f>
        <v>0</v>
      </c>
      <c r="CB98" s="354">
        <f t="shared" si="499"/>
        <v>0</v>
      </c>
      <c r="CC98" s="354">
        <f t="shared" si="499"/>
        <v>0</v>
      </c>
      <c r="CD98" s="354">
        <f t="shared" si="499"/>
        <v>0</v>
      </c>
      <c r="CE98" s="354">
        <f t="shared" si="499"/>
        <v>0</v>
      </c>
    </row>
    <row r="99" spans="2:83" ht="3.75" customHeight="1">
      <c r="B99" s="166"/>
      <c r="C99" s="244"/>
      <c r="D99" s="355" t="s">
        <v>0</v>
      </c>
      <c r="E99" s="355" t="s">
        <v>0</v>
      </c>
      <c r="F99" s="355" t="s">
        <v>0</v>
      </c>
      <c r="G99" s="355" t="s">
        <v>0</v>
      </c>
      <c r="H99" s="355" t="s">
        <v>0</v>
      </c>
      <c r="I99" s="355" t="s">
        <v>0</v>
      </c>
      <c r="J99" s="355" t="s">
        <v>0</v>
      </c>
      <c r="K99" s="355" t="s">
        <v>0</v>
      </c>
      <c r="L99" s="355" t="s">
        <v>0</v>
      </c>
      <c r="M99" s="355" t="s">
        <v>0</v>
      </c>
      <c r="N99" s="355" t="s">
        <v>0</v>
      </c>
      <c r="O99" s="355" t="s">
        <v>0</v>
      </c>
      <c r="P99" s="355" t="s">
        <v>0</v>
      </c>
      <c r="Q99" s="355" t="s">
        <v>0</v>
      </c>
      <c r="R99" s="355" t="s">
        <v>0</v>
      </c>
      <c r="S99" s="355" t="s">
        <v>0</v>
      </c>
      <c r="T99" s="355" t="s">
        <v>0</v>
      </c>
      <c r="U99" s="355" t="s">
        <v>0</v>
      </c>
      <c r="V99" s="355" t="s">
        <v>0</v>
      </c>
      <c r="W99" s="355" t="s">
        <v>0</v>
      </c>
      <c r="X99" s="355" t="s">
        <v>0</v>
      </c>
      <c r="Y99" s="355" t="s">
        <v>0</v>
      </c>
      <c r="Z99" s="355" t="s">
        <v>0</v>
      </c>
      <c r="AA99" s="355" t="s">
        <v>0</v>
      </c>
      <c r="AB99" s="355" t="s">
        <v>0</v>
      </c>
      <c r="AC99" s="355" t="s">
        <v>0</v>
      </c>
      <c r="AD99" s="355" t="s">
        <v>0</v>
      </c>
      <c r="AE99" s="355" t="s">
        <v>0</v>
      </c>
      <c r="AF99" s="355" t="s">
        <v>0</v>
      </c>
      <c r="AG99" s="355" t="s">
        <v>0</v>
      </c>
      <c r="AH99" s="355" t="s">
        <v>0</v>
      </c>
      <c r="AI99" s="355" t="s">
        <v>0</v>
      </c>
      <c r="AJ99" s="355" t="s">
        <v>0</v>
      </c>
      <c r="AK99" s="355" t="s">
        <v>0</v>
      </c>
      <c r="AL99" s="355" t="s">
        <v>0</v>
      </c>
      <c r="AM99" s="355" t="s">
        <v>0</v>
      </c>
      <c r="AN99" s="355" t="s">
        <v>0</v>
      </c>
      <c r="AO99" s="355" t="s">
        <v>0</v>
      </c>
      <c r="AP99" s="355" t="s">
        <v>0</v>
      </c>
      <c r="AQ99" s="355" t="s">
        <v>0</v>
      </c>
      <c r="AR99" s="355" t="s">
        <v>0</v>
      </c>
      <c r="AS99" s="355" t="s">
        <v>0</v>
      </c>
      <c r="AT99" s="355" t="s">
        <v>0</v>
      </c>
      <c r="AU99" s="355" t="s">
        <v>0</v>
      </c>
      <c r="AV99" s="188" t="s">
        <v>0</v>
      </c>
      <c r="AW99" s="355" t="s">
        <v>0</v>
      </c>
      <c r="AX99" s="355" t="s">
        <v>0</v>
      </c>
      <c r="AY99" s="188" t="s">
        <v>0</v>
      </c>
      <c r="AZ99" s="188" t="s">
        <v>0</v>
      </c>
      <c r="BA99" s="188" t="s">
        <v>0</v>
      </c>
      <c r="BB99" s="355" t="s">
        <v>0</v>
      </c>
      <c r="BC99" s="355" t="s">
        <v>0</v>
      </c>
      <c r="BD99" s="355" t="s">
        <v>0</v>
      </c>
      <c r="BE99" s="188" t="s">
        <v>0</v>
      </c>
      <c r="BF99" s="188" t="s">
        <v>0</v>
      </c>
      <c r="BG99" s="355" t="s">
        <v>0</v>
      </c>
      <c r="BH99" s="355" t="s">
        <v>0</v>
      </c>
      <c r="BI99" s="188" t="s">
        <v>0</v>
      </c>
      <c r="BJ99" s="188" t="s">
        <v>0</v>
      </c>
      <c r="BK99" s="188" t="s">
        <v>0</v>
      </c>
      <c r="BL99" s="188" t="s">
        <v>0</v>
      </c>
      <c r="BM99" s="188" t="s">
        <v>0</v>
      </c>
      <c r="BN99" s="188" t="s">
        <v>0</v>
      </c>
      <c r="BO99" s="188" t="s">
        <v>0</v>
      </c>
      <c r="BP99" s="188" t="s">
        <v>0</v>
      </c>
      <c r="BQ99" s="188" t="s">
        <v>0</v>
      </c>
      <c r="BR99" s="188" t="s">
        <v>0</v>
      </c>
      <c r="BS99" s="188" t="s">
        <v>0</v>
      </c>
      <c r="BT99" s="188" t="s">
        <v>0</v>
      </c>
      <c r="BU99" s="188" t="s">
        <v>0</v>
      </c>
      <c r="BV99" s="188" t="s">
        <v>0</v>
      </c>
      <c r="BW99" s="188" t="s">
        <v>0</v>
      </c>
      <c r="BX99" s="188" t="s">
        <v>0</v>
      </c>
      <c r="BY99" s="188" t="s">
        <v>0</v>
      </c>
      <c r="BZ99" s="188" t="s">
        <v>0</v>
      </c>
      <c r="CA99" s="188" t="s">
        <v>0</v>
      </c>
      <c r="CB99" s="188" t="s">
        <v>0</v>
      </c>
      <c r="CC99" s="188" t="s">
        <v>0</v>
      </c>
      <c r="CD99" s="188" t="s">
        <v>0</v>
      </c>
      <c r="CE99" s="188" t="s">
        <v>0</v>
      </c>
    </row>
    <row r="100" spans="2:83" ht="13.35" customHeight="1">
      <c r="B100" s="294" t="s">
        <v>259</v>
      </c>
      <c r="C100" s="315"/>
      <c r="D100" s="351"/>
      <c r="E100" s="351"/>
      <c r="F100" s="351"/>
      <c r="G100" s="351">
        <f>+G18</f>
        <v>2811</v>
      </c>
      <c r="H100" s="351">
        <f>+H18</f>
        <v>2811</v>
      </c>
      <c r="I100" s="351"/>
      <c r="J100" s="351"/>
      <c r="K100" s="351">
        <f t="shared" ref="K100:AU100" si="500">+K18</f>
        <v>0</v>
      </c>
      <c r="L100" s="351">
        <f t="shared" si="500"/>
        <v>2394</v>
      </c>
      <c r="M100" s="351">
        <f t="shared" si="500"/>
        <v>2394</v>
      </c>
      <c r="N100" s="351">
        <f t="shared" si="500"/>
        <v>2296</v>
      </c>
      <c r="O100" s="351">
        <f t="shared" si="500"/>
        <v>2198</v>
      </c>
      <c r="P100" s="351">
        <f t="shared" si="500"/>
        <v>2099</v>
      </c>
      <c r="Q100" s="351">
        <f t="shared" si="500"/>
        <v>2001</v>
      </c>
      <c r="R100" s="351">
        <f t="shared" si="500"/>
        <v>2001</v>
      </c>
      <c r="S100" s="351">
        <f t="shared" si="500"/>
        <v>1903</v>
      </c>
      <c r="T100" s="351">
        <f t="shared" si="500"/>
        <v>1805</v>
      </c>
      <c r="U100" s="351">
        <f t="shared" si="500"/>
        <v>1708</v>
      </c>
      <c r="V100" s="351">
        <f t="shared" si="500"/>
        <v>1360</v>
      </c>
      <c r="W100" s="351">
        <f t="shared" si="500"/>
        <v>1360</v>
      </c>
      <c r="X100" s="351">
        <f t="shared" si="500"/>
        <v>1267</v>
      </c>
      <c r="Y100" s="351">
        <f t="shared" si="500"/>
        <v>1174</v>
      </c>
      <c r="Z100" s="351">
        <f t="shared" si="500"/>
        <v>1080</v>
      </c>
      <c r="AA100" s="351">
        <f t="shared" si="500"/>
        <v>987</v>
      </c>
      <c r="AB100" s="351">
        <f t="shared" si="500"/>
        <v>987</v>
      </c>
      <c r="AC100" s="351">
        <f t="shared" si="500"/>
        <v>894</v>
      </c>
      <c r="AD100" s="351">
        <f t="shared" si="500"/>
        <v>801</v>
      </c>
      <c r="AE100" s="351">
        <f t="shared" si="500"/>
        <v>5801</v>
      </c>
      <c r="AF100" s="351">
        <f t="shared" si="500"/>
        <v>12401</v>
      </c>
      <c r="AG100" s="351">
        <f t="shared" si="500"/>
        <v>12401</v>
      </c>
      <c r="AH100" s="351">
        <f t="shared" si="500"/>
        <v>11769</v>
      </c>
      <c r="AI100" s="351">
        <f t="shared" si="500"/>
        <v>14605</v>
      </c>
      <c r="AJ100" s="351">
        <f t="shared" si="500"/>
        <v>13741</v>
      </c>
      <c r="AK100" s="351">
        <f t="shared" si="500"/>
        <v>21976</v>
      </c>
      <c r="AL100" s="351">
        <f t="shared" si="500"/>
        <v>21976</v>
      </c>
      <c r="AM100" s="351">
        <f t="shared" si="500"/>
        <v>21356</v>
      </c>
      <c r="AN100" s="351">
        <f t="shared" si="500"/>
        <v>19836</v>
      </c>
      <c r="AO100" s="351">
        <f t="shared" si="500"/>
        <v>18316</v>
      </c>
      <c r="AP100" s="351">
        <f t="shared" si="500"/>
        <v>16795</v>
      </c>
      <c r="AQ100" s="351">
        <f t="shared" si="500"/>
        <v>16795</v>
      </c>
      <c r="AR100" s="351">
        <f t="shared" si="500"/>
        <v>15275</v>
      </c>
      <c r="AS100" s="351">
        <f t="shared" si="500"/>
        <v>13755</v>
      </c>
      <c r="AT100" s="351">
        <f t="shared" si="500"/>
        <v>13651</v>
      </c>
      <c r="AU100" s="351">
        <f t="shared" si="500"/>
        <v>12006</v>
      </c>
      <c r="AV100" s="354">
        <f t="shared" ref="AV100" si="501">+AV93+AV94-AV96</f>
        <v>10087</v>
      </c>
      <c r="AW100" s="351">
        <f>+AW18</f>
        <v>10361</v>
      </c>
      <c r="AX100" s="351">
        <f>+AX18</f>
        <v>8715</v>
      </c>
      <c r="AY100" s="354">
        <f t="shared" ref="AY100:BA100" si="502">+AY93+AY94-AY96</f>
        <v>7050</v>
      </c>
      <c r="AZ100" s="354">
        <f t="shared" ref="AZ100" si="503">+AZ93+AZ94-AZ96</f>
        <v>7781</v>
      </c>
      <c r="BA100" s="354">
        <f t="shared" si="502"/>
        <v>6575</v>
      </c>
      <c r="BB100" s="351">
        <f>+BB18</f>
        <v>4839</v>
      </c>
      <c r="BC100" s="351">
        <f>+BC18</f>
        <v>3365</v>
      </c>
      <c r="BD100" s="351">
        <f>+BD18</f>
        <v>2019</v>
      </c>
      <c r="BE100" s="354">
        <f t="shared" ref="BE100" si="504">+BE93+BE94-BE96</f>
        <v>9358</v>
      </c>
      <c r="BF100" s="354">
        <f t="shared" ref="BF100" si="505">+BF93+BF94-BF96</f>
        <v>9478</v>
      </c>
      <c r="BG100" s="351">
        <f>+BG18</f>
        <v>12030</v>
      </c>
      <c r="BH100" s="351">
        <f>+BH18</f>
        <v>11258</v>
      </c>
      <c r="BI100" s="354">
        <f t="shared" ref="BI100:BK100" si="506">+BI93+BI94-BI96</f>
        <v>10486</v>
      </c>
      <c r="BJ100" s="354">
        <f t="shared" si="506"/>
        <v>9715</v>
      </c>
      <c r="BK100" s="354">
        <f t="shared" si="506"/>
        <v>9714</v>
      </c>
      <c r="BL100" s="354">
        <f t="shared" ref="BL100:BP100" si="507">+BL93+BL94-BL96</f>
        <v>8943</v>
      </c>
      <c r="BM100" s="354">
        <f t="shared" si="507"/>
        <v>8172</v>
      </c>
      <c r="BN100" s="354">
        <f t="shared" ref="BN100:BO100" si="508">+BN93+BN94-BN96</f>
        <v>7451</v>
      </c>
      <c r="BO100" s="354">
        <f t="shared" si="508"/>
        <v>6812</v>
      </c>
      <c r="BP100" s="354">
        <f t="shared" si="507"/>
        <v>6812</v>
      </c>
      <c r="BQ100" s="354">
        <f t="shared" ref="BQ100:BS100" si="509">+BQ93+BQ94-BQ96</f>
        <v>6172</v>
      </c>
      <c r="BR100" s="354">
        <f t="shared" si="509"/>
        <v>5533</v>
      </c>
      <c r="BS100" s="354">
        <f t="shared" si="509"/>
        <v>4894</v>
      </c>
      <c r="BT100" s="354">
        <f t="shared" ref="BT100:BU100" si="510">+BT93+BT94-BT96</f>
        <v>4255</v>
      </c>
      <c r="BU100" s="354">
        <f t="shared" si="510"/>
        <v>4255</v>
      </c>
      <c r="BV100" s="354">
        <f t="shared" ref="BV100:BZ100" si="511">+BV93+BV94-BV96</f>
        <v>3616.75</v>
      </c>
      <c r="BW100" s="354">
        <f t="shared" si="511"/>
        <v>3074.2375000000002</v>
      </c>
      <c r="BX100" s="354">
        <f t="shared" si="511"/>
        <v>2613.1018750000003</v>
      </c>
      <c r="BY100" s="354">
        <f t="shared" si="511"/>
        <v>2221.1365937500004</v>
      </c>
      <c r="BZ100" s="354">
        <f t="shared" si="511"/>
        <v>2221.1365937500004</v>
      </c>
      <c r="CA100" s="354">
        <f t="shared" ref="CA100:CE100" si="512">+CA93+CA94-CA96</f>
        <v>1776.9092750000004</v>
      </c>
      <c r="CB100" s="354">
        <f t="shared" si="512"/>
        <v>1421.5274200000003</v>
      </c>
      <c r="CC100" s="354">
        <f t="shared" si="512"/>
        <v>1137.2219360000004</v>
      </c>
      <c r="CD100" s="354">
        <f t="shared" si="512"/>
        <v>909.77754880000032</v>
      </c>
      <c r="CE100" s="354">
        <f t="shared" si="512"/>
        <v>909.77754879999998</v>
      </c>
    </row>
    <row r="101" spans="2:83" ht="12.75" hidden="1" customHeight="1" outlineLevel="1">
      <c r="B101" s="166"/>
      <c r="C101" s="182"/>
      <c r="D101" s="344"/>
      <c r="E101" s="344"/>
      <c r="F101" s="344"/>
      <c r="G101" s="344"/>
      <c r="H101" s="344"/>
      <c r="I101" s="344"/>
      <c r="J101" s="344"/>
      <c r="K101" s="344"/>
      <c r="L101" s="344"/>
      <c r="M101" s="344"/>
      <c r="N101" s="344"/>
      <c r="O101" s="344"/>
      <c r="P101" s="344"/>
      <c r="Q101" s="344"/>
      <c r="R101" s="344"/>
      <c r="S101" s="344"/>
      <c r="T101" s="344"/>
      <c r="U101" s="344"/>
      <c r="V101" s="344"/>
      <c r="W101" s="344"/>
      <c r="X101" s="344"/>
      <c r="Y101" s="344"/>
      <c r="Z101" s="344"/>
      <c r="AA101" s="344"/>
      <c r="AB101" s="344"/>
      <c r="AC101" s="344"/>
      <c r="AD101" s="344"/>
      <c r="AE101" s="344"/>
      <c r="AF101" s="344"/>
      <c r="AG101" s="344"/>
      <c r="AH101" s="344"/>
      <c r="AI101" s="344"/>
      <c r="AJ101" s="344"/>
      <c r="AK101" s="344"/>
      <c r="AL101" s="344"/>
      <c r="AM101" s="344"/>
      <c r="AN101" s="344"/>
      <c r="AO101" s="344"/>
      <c r="AP101" s="344"/>
      <c r="AQ101" s="344"/>
      <c r="AR101" s="344"/>
      <c r="AS101" s="344"/>
      <c r="AT101" s="344"/>
      <c r="AU101" s="179"/>
      <c r="AV101" s="179" t="e">
        <f ca="1">_xll.FDS(+IS!$B$1,"FE_ESTIMATE(GW_TOT,MEAN,ANNUAL,"&amp;IS!AV$74&amp;",NOW,,,'')")*1000</f>
        <v>#NAME?</v>
      </c>
      <c r="AW101" s="344"/>
      <c r="AX101" s="344"/>
      <c r="AY101" s="179"/>
      <c r="AZ101" s="179"/>
      <c r="BA101" s="179" t="e">
        <f ca="1">_xll.FDS(+IS!$B$1,"FE_ESTIMATE(GW_TOT,MEAN,ANNUAL,"&amp;IS!BA$74&amp;",NOW,,,'')")*1000</f>
        <v>#NAME?</v>
      </c>
      <c r="BB101" s="344"/>
      <c r="BC101" s="344"/>
      <c r="BD101" s="344"/>
      <c r="BE101" s="179"/>
      <c r="BF101" s="179" t="e">
        <f ca="1">_xll.FDS(+IS!$B$1,"FE_ESTIMATE(GW_TOT,MEAN,ANNUAL,"&amp;IS!BF$74&amp;",NOW,,,'')")*1000</f>
        <v>#NAME?</v>
      </c>
      <c r="BG101" s="344"/>
      <c r="BH101" s="344"/>
      <c r="BI101" s="179"/>
      <c r="BJ101" s="179"/>
      <c r="BK101" s="179" t="e">
        <f ca="1">_xll.FDS(+IS!$B$1,"FE_ESTIMATE(GW_TOT,MEAN,ANNUAL,"&amp;IS!BK$74&amp;",NOW,,,'')")*1000</f>
        <v>#NAME?</v>
      </c>
      <c r="BL101" s="179"/>
      <c r="BM101" s="179"/>
      <c r="BN101" s="179"/>
      <c r="BO101" s="179"/>
      <c r="BP101" s="179" t="e">
        <f ca="1">_xll.FDS(+IS!$B$1,"FE_ESTIMATE(GW_TOT,MEAN,ANNUAL,"&amp;IS!BP$74&amp;",NOW,,,'')")*1000</f>
        <v>#NAME?</v>
      </c>
      <c r="BQ101" s="179"/>
      <c r="BR101" s="179"/>
      <c r="BS101" s="179"/>
      <c r="BT101" s="179"/>
      <c r="BU101" s="179" t="e">
        <f ca="1">_xll.FDS(+IS!$B$1,"FE_ESTIMATE(GW_TOT,MEAN,ANNUAL,"&amp;IS!BU$74&amp;",NOW,,,'')")*1000</f>
        <v>#NAME?</v>
      </c>
      <c r="BV101" s="179"/>
      <c r="BW101" s="179"/>
      <c r="BX101" s="179"/>
      <c r="BY101" s="179"/>
      <c r="BZ101" s="179" t="e">
        <f ca="1">_xll.FDS(+IS!$B$1,"FE_ESTIMATE(GW_TOT,MEAN,ANNUAL,"&amp;IS!BZ$74&amp;",NOW,,,'')")*1000</f>
        <v>#NAME?</v>
      </c>
      <c r="CA101" s="179"/>
      <c r="CB101" s="179"/>
      <c r="CC101" s="179"/>
      <c r="CD101" s="179"/>
      <c r="CE101" s="179" t="e">
        <f ca="1">_xll.FDS(+IS!$B$1,"FE_ESTIMATE(GW_TOT,MEAN,ANNUAL,"&amp;IS!CE$74&amp;",NOW,,,'')")*1000</f>
        <v>#NAME?</v>
      </c>
    </row>
    <row r="102" spans="2:83" ht="13.35" customHeight="1" collapsed="1">
      <c r="B102" s="166"/>
      <c r="C102" s="315"/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351"/>
      <c r="AA102" s="351"/>
      <c r="AB102" s="351"/>
      <c r="AC102" s="351"/>
      <c r="AD102" s="351"/>
      <c r="AE102" s="351"/>
      <c r="AF102" s="351"/>
      <c r="AG102" s="351"/>
      <c r="AH102" s="351"/>
      <c r="AI102" s="351"/>
      <c r="AJ102" s="351"/>
      <c r="AK102" s="351"/>
      <c r="AL102" s="351"/>
      <c r="AM102" s="351"/>
      <c r="AN102" s="351"/>
      <c r="AO102" s="351"/>
      <c r="AP102" s="351"/>
      <c r="AQ102" s="351"/>
      <c r="AR102" s="351"/>
      <c r="AS102" s="351"/>
      <c r="AT102" s="351"/>
      <c r="AU102" s="315"/>
      <c r="AV102" s="315"/>
      <c r="AW102" s="351"/>
      <c r="AX102" s="351"/>
      <c r="AY102" s="315"/>
      <c r="AZ102" s="315"/>
      <c r="BA102" s="315"/>
      <c r="BB102" s="351"/>
      <c r="BC102" s="351"/>
      <c r="BD102" s="351"/>
      <c r="BE102" s="315"/>
      <c r="BF102" s="315"/>
      <c r="BG102" s="351"/>
      <c r="BH102" s="351"/>
      <c r="BI102" s="315"/>
      <c r="BJ102" s="315"/>
      <c r="BK102" s="315"/>
      <c r="BL102" s="315"/>
      <c r="BM102" s="315"/>
      <c r="BN102" s="315"/>
      <c r="BO102" s="315"/>
      <c r="BP102" s="315"/>
      <c r="BQ102" s="315"/>
      <c r="BR102" s="315"/>
      <c r="BS102" s="315"/>
      <c r="BT102" s="315"/>
      <c r="BU102" s="315"/>
      <c r="BV102" s="315"/>
      <c r="BW102" s="315"/>
      <c r="BX102" s="315"/>
      <c r="BY102" s="315"/>
      <c r="BZ102" s="315"/>
      <c r="CA102" s="315"/>
      <c r="CB102" s="315"/>
      <c r="CC102" s="315"/>
      <c r="CD102" s="315"/>
      <c r="CE102" s="315"/>
    </row>
    <row r="103" spans="2:83" ht="13.35" customHeight="1">
      <c r="B103" s="166" t="s">
        <v>103</v>
      </c>
      <c r="C103" s="315"/>
      <c r="D103" s="351"/>
      <c r="E103" s="351"/>
      <c r="F103" s="351"/>
      <c r="G103" s="351">
        <f>+G27</f>
        <v>2031.0000000000002</v>
      </c>
      <c r="H103" s="351">
        <f>+H27</f>
        <v>2031.0000000000002</v>
      </c>
      <c r="I103" s="351"/>
      <c r="J103" s="351"/>
      <c r="K103" s="351">
        <f t="shared" ref="K103:AP103" si="513">+K27</f>
        <v>0</v>
      </c>
      <c r="L103" s="351">
        <f t="shared" si="513"/>
        <v>1930</v>
      </c>
      <c r="M103" s="351">
        <f t="shared" si="513"/>
        <v>1930</v>
      </c>
      <c r="N103" s="351">
        <f t="shared" si="513"/>
        <v>2017.9999999999998</v>
      </c>
      <c r="O103" s="351">
        <f t="shared" si="513"/>
        <v>1735</v>
      </c>
      <c r="P103" s="351">
        <f t="shared" si="513"/>
        <v>1898</v>
      </c>
      <c r="Q103" s="351">
        <f t="shared" si="513"/>
        <v>5661</v>
      </c>
      <c r="R103" s="351">
        <f t="shared" si="513"/>
        <v>5661</v>
      </c>
      <c r="S103" s="351">
        <f t="shared" si="513"/>
        <v>2052</v>
      </c>
      <c r="T103" s="351">
        <f t="shared" si="513"/>
        <v>1042</v>
      </c>
      <c r="U103" s="351">
        <f t="shared" si="513"/>
        <v>2055</v>
      </c>
      <c r="V103" s="351">
        <f t="shared" si="513"/>
        <v>2368</v>
      </c>
      <c r="W103" s="351">
        <f t="shared" si="513"/>
        <v>2368</v>
      </c>
      <c r="X103" s="351">
        <f t="shared" si="513"/>
        <v>4393</v>
      </c>
      <c r="Y103" s="351">
        <f t="shared" si="513"/>
        <v>5853</v>
      </c>
      <c r="Z103" s="351">
        <f t="shared" si="513"/>
        <v>1491</v>
      </c>
      <c r="AA103" s="351">
        <f t="shared" si="513"/>
        <v>2051</v>
      </c>
      <c r="AB103" s="351">
        <f t="shared" si="513"/>
        <v>2051</v>
      </c>
      <c r="AC103" s="351">
        <f t="shared" si="513"/>
        <v>4338</v>
      </c>
      <c r="AD103" s="351">
        <f t="shared" si="513"/>
        <v>1924</v>
      </c>
      <c r="AE103" s="351">
        <f t="shared" si="513"/>
        <v>1398</v>
      </c>
      <c r="AF103" s="351">
        <f t="shared" si="513"/>
        <v>1144</v>
      </c>
      <c r="AG103" s="351">
        <f t="shared" si="513"/>
        <v>1144</v>
      </c>
      <c r="AH103" s="351">
        <f t="shared" si="513"/>
        <v>1310</v>
      </c>
      <c r="AI103" s="351">
        <f t="shared" si="513"/>
        <v>1024</v>
      </c>
      <c r="AJ103" s="351">
        <f t="shared" si="513"/>
        <v>4723</v>
      </c>
      <c r="AK103" s="351">
        <f t="shared" si="513"/>
        <v>5588</v>
      </c>
      <c r="AL103" s="351">
        <f t="shared" si="513"/>
        <v>5588</v>
      </c>
      <c r="AM103" s="351">
        <f t="shared" si="513"/>
        <v>566</v>
      </c>
      <c r="AN103" s="351">
        <f t="shared" si="513"/>
        <v>963</v>
      </c>
      <c r="AO103" s="351">
        <f t="shared" si="513"/>
        <v>909</v>
      </c>
      <c r="AP103" s="351">
        <f t="shared" si="513"/>
        <v>848</v>
      </c>
      <c r="AQ103" s="351">
        <f t="shared" ref="AQ103:BK103" si="514">+AQ27</f>
        <v>848</v>
      </c>
      <c r="AR103" s="351">
        <f t="shared" si="514"/>
        <v>653</v>
      </c>
      <c r="AS103" s="351">
        <f t="shared" si="514"/>
        <v>1395</v>
      </c>
      <c r="AT103" s="351">
        <f t="shared" si="514"/>
        <v>2223</v>
      </c>
      <c r="AU103" s="351">
        <f t="shared" si="514"/>
        <v>731</v>
      </c>
      <c r="AV103" s="354">
        <f t="shared" si="514"/>
        <v>731</v>
      </c>
      <c r="AW103" s="351">
        <f t="shared" si="514"/>
        <v>1164</v>
      </c>
      <c r="AX103" s="351">
        <f t="shared" si="514"/>
        <v>1597</v>
      </c>
      <c r="AY103" s="351">
        <f t="shared" ref="AY103:AZ103" si="515">+AY27</f>
        <v>1099</v>
      </c>
      <c r="AZ103" s="351">
        <f t="shared" si="515"/>
        <v>1296</v>
      </c>
      <c r="BA103" s="354">
        <f t="shared" si="514"/>
        <v>1296</v>
      </c>
      <c r="BB103" s="351">
        <f t="shared" ref="BB103:BC103" si="516">+BB27</f>
        <v>2477</v>
      </c>
      <c r="BC103" s="351">
        <f t="shared" si="516"/>
        <v>2132</v>
      </c>
      <c r="BD103" s="351">
        <f t="shared" ref="BD103:BE103" si="517">+BD27</f>
        <v>1308</v>
      </c>
      <c r="BE103" s="351">
        <f t="shared" si="517"/>
        <v>2808</v>
      </c>
      <c r="BF103" s="354">
        <f t="shared" si="514"/>
        <v>2808</v>
      </c>
      <c r="BG103" s="351">
        <f t="shared" si="514"/>
        <v>1740</v>
      </c>
      <c r="BH103" s="351">
        <f t="shared" si="514"/>
        <v>2160</v>
      </c>
      <c r="BI103" s="354">
        <f t="shared" si="514"/>
        <v>1165</v>
      </c>
      <c r="BJ103" s="354">
        <f t="shared" si="514"/>
        <v>988</v>
      </c>
      <c r="BK103" s="354">
        <f t="shared" si="514"/>
        <v>988</v>
      </c>
      <c r="BL103" s="354">
        <f t="shared" ref="BL103:BP103" si="518">+BL27</f>
        <v>645</v>
      </c>
      <c r="BM103" s="354">
        <f t="shared" si="518"/>
        <v>1277</v>
      </c>
      <c r="BN103" s="354">
        <f t="shared" ref="BN103:BO103" si="519">+BN27</f>
        <v>1422</v>
      </c>
      <c r="BO103" s="354">
        <f t="shared" si="519"/>
        <v>1270</v>
      </c>
      <c r="BP103" s="354">
        <f t="shared" si="518"/>
        <v>1270</v>
      </c>
      <c r="BQ103" s="354">
        <f t="shared" ref="BQ103:BS103" si="520">+BQ27</f>
        <v>1292</v>
      </c>
      <c r="BR103" s="354">
        <f t="shared" si="520"/>
        <v>1977</v>
      </c>
      <c r="BS103" s="354">
        <f t="shared" si="520"/>
        <v>1823</v>
      </c>
      <c r="BT103" s="354">
        <f t="shared" ref="BT103:BU103" si="521">+BT27</f>
        <v>1202</v>
      </c>
      <c r="BU103" s="354">
        <f t="shared" si="521"/>
        <v>1202</v>
      </c>
      <c r="BV103" s="354">
        <f t="shared" ref="BV103:BZ103" si="522">+BV27</f>
        <v>1542.1370222222224</v>
      </c>
      <c r="BW103" s="354">
        <f t="shared" si="522"/>
        <v>1889.99424</v>
      </c>
      <c r="BX103" s="354">
        <f t="shared" si="522"/>
        <v>1911.4556366666666</v>
      </c>
      <c r="BY103" s="354">
        <f t="shared" si="522"/>
        <v>1938.034646666667</v>
      </c>
      <c r="BZ103" s="354">
        <f t="shared" si="522"/>
        <v>1938.034646666667</v>
      </c>
      <c r="CA103" s="354">
        <f t="shared" ref="CA103:CE103" si="523">+CA27</f>
        <v>1644.6891342000001</v>
      </c>
      <c r="CB103" s="354">
        <f t="shared" si="523"/>
        <v>1971.7364908800014</v>
      </c>
      <c r="CC103" s="354">
        <f t="shared" si="523"/>
        <v>2000.332236333333</v>
      </c>
      <c r="CD103" s="354">
        <f t="shared" si="523"/>
        <v>1988.0484440000009</v>
      </c>
      <c r="CE103" s="354">
        <f t="shared" si="523"/>
        <v>1988.0484440000009</v>
      </c>
    </row>
    <row r="104" spans="2:83" ht="12.75" hidden="1" customHeight="1" outlineLevel="1">
      <c r="B104" s="170"/>
      <c r="C104" s="179"/>
      <c r="D104" s="344"/>
      <c r="E104" s="344"/>
      <c r="F104" s="344"/>
      <c r="G104" s="344"/>
      <c r="H104" s="344"/>
      <c r="I104" s="344"/>
      <c r="J104" s="344"/>
      <c r="K104" s="344"/>
      <c r="L104" s="344"/>
      <c r="M104" s="344"/>
      <c r="N104" s="344"/>
      <c r="O104" s="344"/>
      <c r="P104" s="344"/>
      <c r="Q104" s="344"/>
      <c r="R104" s="344"/>
      <c r="S104" s="344"/>
      <c r="T104" s="344"/>
      <c r="U104" s="344"/>
      <c r="V104" s="344"/>
      <c r="W104" s="344"/>
      <c r="X104" s="344"/>
      <c r="Y104" s="344"/>
      <c r="Z104" s="344"/>
      <c r="AA104" s="344"/>
      <c r="AB104" s="344"/>
      <c r="AC104" s="344"/>
      <c r="AD104" s="344"/>
      <c r="AE104" s="344"/>
      <c r="AF104" s="344"/>
      <c r="AG104" s="344"/>
      <c r="AH104" s="344"/>
      <c r="AI104" s="344"/>
      <c r="AJ104" s="344"/>
      <c r="AK104" s="344"/>
      <c r="AL104" s="344"/>
      <c r="AM104" s="344"/>
      <c r="AN104" s="344"/>
      <c r="AO104" s="344"/>
      <c r="AP104" s="344"/>
      <c r="AQ104" s="344"/>
      <c r="AR104" s="344"/>
      <c r="AS104" s="344"/>
      <c r="AT104" s="344"/>
      <c r="AU104" s="344"/>
      <c r="AV104" s="179" t="e">
        <f ca="1">_xll.FDS(+IS!$B$1,"FE_ESTIMATE(PAY_ACCT,MEAN,ANNUAL,"&amp;IS!AV$74&amp;",NOW,,,'')")*1000</f>
        <v>#NAME?</v>
      </c>
      <c r="AW104" s="344"/>
      <c r="AX104" s="344"/>
      <c r="AY104" s="344"/>
      <c r="AZ104" s="344"/>
      <c r="BA104" s="179" t="e">
        <f ca="1">_xll.FDS(+IS!$B$1,"FE_ESTIMATE(PAY_ACCT,MEAN,ANNUAL,"&amp;IS!BA$74&amp;",NOW,,,'')")*1000</f>
        <v>#NAME?</v>
      </c>
      <c r="BB104" s="344"/>
      <c r="BC104" s="344"/>
      <c r="BD104" s="344"/>
      <c r="BE104" s="344"/>
      <c r="BF104" s="179" t="e">
        <f ca="1">_xll.FDS(+IS!$B$1,"FE_ESTIMATE(PAY_ACCT,MEAN,ANNUAL,"&amp;IS!BF$74&amp;",NOW,,,'')")*1000</f>
        <v>#NAME?</v>
      </c>
      <c r="BG104" s="344"/>
      <c r="BH104" s="344"/>
      <c r="BI104" s="179" t="e">
        <f ca="1">_xll.FDS(+IS!$B$1,"FE_ESTIMATE(PAY_ACCT,MEAN,QUARTERLY,"&amp;IS!BI$74&amp;",NOW,,,'')")*1000</f>
        <v>#NAME?</v>
      </c>
      <c r="BJ104" s="179" t="e">
        <f ca="1">_xll.FDS(+IS!$B$1,"FE_ESTIMATE(PAY_ACCT,MEAN,QUARTERLY,"&amp;IS!BJ$74&amp;",NOW,,,'')")*1000</f>
        <v>#NAME?</v>
      </c>
      <c r="BK104" s="179" t="e">
        <f ca="1">_xll.FDS(+IS!$B$1,"FE_ESTIMATE(PAY_ACCT,MEAN,ANNUAL,"&amp;IS!BK$74&amp;",NOW,,,'')")*1000</f>
        <v>#NAME?</v>
      </c>
      <c r="BL104" s="179" t="e">
        <f ca="1">_xll.FDS(+IS!$B$1,"FE_ESTIMATE(PAY_ACCT,MEAN,QUARTERLY,"&amp;IS!BL$74&amp;",NOW,,,'')")*1000</f>
        <v>#NAME?</v>
      </c>
      <c r="BM104" s="179" t="e">
        <f ca="1">_xll.FDS(+IS!$B$1,"FE_ESTIMATE(PAY_ACCT,MEAN,QUARTERLY,"&amp;IS!BM$74&amp;",NOW,,,'')")*1000</f>
        <v>#NAME?</v>
      </c>
      <c r="BN104" s="179" t="e">
        <f ca="1">_xll.FDS(+IS!$B$1,"FE_ESTIMATE(PAY_ACCT,MEAN,QUARTERLY,"&amp;IS!BN$74&amp;",NOW,,,'')")*1000</f>
        <v>#NAME?</v>
      </c>
      <c r="BO104" s="179" t="e">
        <f ca="1">_xll.FDS(+IS!$B$1,"FE_ESTIMATE(PAY_ACCT,MEAN,QUARTERLY,"&amp;IS!BO$74&amp;",NOW,,,'')")*1000</f>
        <v>#NAME?</v>
      </c>
      <c r="BP104" s="179" t="e">
        <f ca="1">_xll.FDS(+IS!$B$1,"FE_ESTIMATE(PAY_ACCT,MEAN,ANNUAL,"&amp;IS!BP$74&amp;",NOW,,,'')")*1000</f>
        <v>#NAME?</v>
      </c>
      <c r="BQ104" s="179" t="e">
        <f ca="1">_xll.FDS(+IS!$B$1,"FE_ESTIMATE(PAY_ACCT,MEAN,QUARTERLY,"&amp;IS!BQ$74&amp;",NOW,,,'')")*1000</f>
        <v>#NAME?</v>
      </c>
      <c r="BR104" s="179" t="e">
        <f ca="1">_xll.FDS(+IS!$B$1,"FE_ESTIMATE(PAY_ACCT,MEAN,QUARTERLY,"&amp;IS!BR$74&amp;",NOW,,,'')")*1000</f>
        <v>#NAME?</v>
      </c>
      <c r="BS104" s="179" t="e">
        <f ca="1">_xll.FDS(+IS!$B$1,"FE_ESTIMATE(PAY_ACCT,MEAN,QUARTERLY,"&amp;IS!BS$74&amp;",NOW,,,'')")*1000</f>
        <v>#NAME?</v>
      </c>
      <c r="BT104" s="179" t="e">
        <f ca="1">_xll.FDS(+IS!$B$1,"FE_ESTIMATE(PAY_ACCT,MEAN,QUARTERLY,"&amp;IS!BT$74&amp;",NOW,,,'')")*1000</f>
        <v>#NAME?</v>
      </c>
      <c r="BU104" s="179" t="e">
        <f ca="1">_xll.FDS(+IS!$B$1,"FE_ESTIMATE(PAY_ACCT,MEAN,ANNUAL,"&amp;IS!BU$74&amp;",NOW,,,'')")*1000</f>
        <v>#NAME?</v>
      </c>
      <c r="BV104" s="179" t="e">
        <f ca="1">_xll.FDS(+IS!$B$1,"FE_ESTIMATE(PAY_ACCT,MEAN,QUARTERLY,"&amp;IS!BV$74&amp;",NOW,,,'')")*1000</f>
        <v>#NAME?</v>
      </c>
      <c r="BW104" s="179" t="e">
        <f ca="1">_xll.FDS(+IS!$B$1,"FE_ESTIMATE(PAY_ACCT,MEAN,QUARTERLY,"&amp;IS!BW$74&amp;",NOW,,,'')")*1000</f>
        <v>#NAME?</v>
      </c>
      <c r="BX104" s="179" t="e">
        <f ca="1">_xll.FDS(+IS!$B$1,"FE_ESTIMATE(PAY_ACCT,MEAN,QUARTERLY,"&amp;IS!BX$74&amp;",NOW,,,'')")*1000</f>
        <v>#NAME?</v>
      </c>
      <c r="BY104" s="179" t="e">
        <f ca="1">_xll.FDS(+IS!$B$1,"FE_ESTIMATE(PAY_ACCT,MEAN,QUARTERLY,"&amp;IS!BY$74&amp;",NOW,,,'')")*1000</f>
        <v>#NAME?</v>
      </c>
      <c r="BZ104" s="179" t="e">
        <f ca="1">_xll.FDS(+IS!$B$1,"FE_ESTIMATE(PAY_ACCT,MEAN,ANNUAL,"&amp;IS!BZ$74&amp;",NOW,,,'')")*1000</f>
        <v>#NAME?</v>
      </c>
      <c r="CA104" s="179" t="e">
        <f ca="1">_xll.FDS(+IS!$B$1,"FE_ESTIMATE(PAY_ACCT,MEAN,QUARTERLY,"&amp;IS!CA$74&amp;",NOW,,,'')")*1000</f>
        <v>#NAME?</v>
      </c>
      <c r="CB104" s="179" t="e">
        <f ca="1">_xll.FDS(+IS!$B$1,"FE_ESTIMATE(PAY_ACCT,MEAN,QUARTERLY,"&amp;IS!CB$74&amp;",NOW,,,'')")*1000</f>
        <v>#NAME?</v>
      </c>
      <c r="CC104" s="179" t="e">
        <f ca="1">_xll.FDS(+IS!$B$1,"FE_ESTIMATE(PAY_ACCT,MEAN,QUARTERLY,"&amp;IS!CC$74&amp;",NOW,,,'')")*1000</f>
        <v>#NAME?</v>
      </c>
      <c r="CD104" s="179" t="e">
        <f ca="1">_xll.FDS(+IS!$B$1,"FE_ESTIMATE(PAY_ACCT,MEAN,QUARTERLY,"&amp;IS!CD$74&amp;",NOW,,,'')")*1000</f>
        <v>#NAME?</v>
      </c>
      <c r="CE104" s="179" t="e">
        <f ca="1">_xll.FDS(+IS!$B$1,"FE_ESTIMATE(PAY_ACCT,MEAN,ANNUAL,"&amp;IS!CE$74&amp;",NOW,,,'')")*1000</f>
        <v>#NAME?</v>
      </c>
    </row>
    <row r="105" spans="2:83" ht="13.35" customHeight="1" collapsed="1">
      <c r="B105" s="166" t="s">
        <v>260</v>
      </c>
      <c r="C105" s="315"/>
      <c r="D105" s="347"/>
      <c r="E105" s="347"/>
      <c r="F105" s="347"/>
      <c r="G105" s="347">
        <f t="shared" ref="G105:AD105" si="524">+G103/G$59</f>
        <v>0.41448979591836749</v>
      </c>
      <c r="H105" s="347">
        <f t="shared" si="524"/>
        <v>0.11203662842012357</v>
      </c>
      <c r="I105" s="347"/>
      <c r="J105" s="347"/>
      <c r="K105" s="347">
        <f t="shared" si="524"/>
        <v>0</v>
      </c>
      <c r="L105" s="347">
        <f t="shared" si="524"/>
        <v>0.30151538822059043</v>
      </c>
      <c r="M105" s="347">
        <f t="shared" si="524"/>
        <v>7.9659897639095256E-2</v>
      </c>
      <c r="N105" s="347">
        <f t="shared" si="524"/>
        <v>0.30132895326265491</v>
      </c>
      <c r="O105" s="347">
        <f t="shared" si="524"/>
        <v>0.24725666239133537</v>
      </c>
      <c r="P105" s="347">
        <f t="shared" si="524"/>
        <v>0.2619376207562793</v>
      </c>
      <c r="Q105" s="347">
        <f t="shared" si="524"/>
        <v>0.78125862544852331</v>
      </c>
      <c r="R105" s="347">
        <f t="shared" si="524"/>
        <v>0.20070197830248884</v>
      </c>
      <c r="S105" s="347">
        <f t="shared" si="524"/>
        <v>0.26872708224201153</v>
      </c>
      <c r="T105" s="347">
        <f t="shared" si="524"/>
        <v>0.13336746448227313</v>
      </c>
      <c r="U105" s="347">
        <f t="shared" si="524"/>
        <v>0.24380116265274648</v>
      </c>
      <c r="V105" s="347">
        <f t="shared" si="524"/>
        <v>0.27041224163526317</v>
      </c>
      <c r="W105" s="347">
        <f t="shared" si="524"/>
        <v>7.2560134824574837E-2</v>
      </c>
      <c r="X105" s="347">
        <f t="shared" si="524"/>
        <v>0.48611264800265575</v>
      </c>
      <c r="Y105" s="347">
        <f t="shared" si="524"/>
        <v>0.605336642879305</v>
      </c>
      <c r="Z105" s="347">
        <f t="shared" si="524"/>
        <v>0.13841440772372818</v>
      </c>
      <c r="AA105" s="347">
        <f t="shared" si="524"/>
        <v>0.18416090509113764</v>
      </c>
      <c r="AB105" s="347">
        <f t="shared" si="524"/>
        <v>5.0498584266896469E-2</v>
      </c>
      <c r="AC105" s="347">
        <f t="shared" si="524"/>
        <v>0.36784533197659625</v>
      </c>
      <c r="AD105" s="347">
        <f t="shared" si="524"/>
        <v>0.16561935095119221</v>
      </c>
      <c r="AE105" s="347">
        <f t="shared" ref="AE105:AI105" si="525">+AE103/AE$59</f>
        <v>0.11544178364987613</v>
      </c>
      <c r="AF105" s="347">
        <f t="shared" si="525"/>
        <v>8.5112714827765792E-2</v>
      </c>
      <c r="AG105" s="347">
        <f t="shared" si="525"/>
        <v>2.3365535834643899E-2</v>
      </c>
      <c r="AH105" s="347">
        <f t="shared" si="525"/>
        <v>8.9486986816039352E-2</v>
      </c>
      <c r="AI105" s="347">
        <f t="shared" si="525"/>
        <v>6.918918918918919E-2</v>
      </c>
      <c r="AJ105" s="347">
        <f t="shared" ref="AJ105:AN105" si="526">+AJ103/AJ$59</f>
        <v>0.31388316607961719</v>
      </c>
      <c r="AK105" s="347">
        <f t="shared" si="526"/>
        <v>0.35854988771254409</v>
      </c>
      <c r="AL105" s="347">
        <f t="shared" si="526"/>
        <v>9.3023255813953487E-2</v>
      </c>
      <c r="AM105" s="347">
        <f t="shared" si="526"/>
        <v>3.6122279660476098E-2</v>
      </c>
      <c r="AN105" s="347">
        <f t="shared" si="526"/>
        <v>6.2181184219022405E-2</v>
      </c>
      <c r="AO105" s="347">
        <f t="shared" ref="AO105:AS105" si="527">+AO103/AO$59</f>
        <v>6.0454908220271351E-2</v>
      </c>
      <c r="AP105" s="347">
        <f t="shared" si="527"/>
        <v>5.6233421750663128E-2</v>
      </c>
      <c r="AQ105" s="347">
        <f t="shared" si="527"/>
        <v>1.3839926883405145E-2</v>
      </c>
      <c r="AR105" s="347">
        <f t="shared" si="527"/>
        <v>3.9851092395947758E-2</v>
      </c>
      <c r="AS105" s="347">
        <f t="shared" si="527"/>
        <v>8.2971510140962351E-2</v>
      </c>
      <c r="AT105" s="347">
        <f t="shared" ref="AT105" si="528">+AT103/AT$59</f>
        <v>0.12167487684729064</v>
      </c>
      <c r="AU105" s="347">
        <f t="shared" ref="AU105" si="529">+AU103/AU$59</f>
        <v>3.8882978723404259E-2</v>
      </c>
      <c r="AV105" s="340">
        <f t="shared" ref="AV105:AW105" si="530">+AV103/AV$59</f>
        <v>1.040288035976035E-2</v>
      </c>
      <c r="AW105" s="347">
        <f t="shared" si="530"/>
        <v>6.0672400312744332E-2</v>
      </c>
      <c r="AX105" s="347">
        <f t="shared" ref="AX105" si="531">+AX103/AX$59</f>
        <v>8.3656364588789944E-2</v>
      </c>
      <c r="AY105" s="347">
        <f t="shared" ref="AY105:AZ105" si="532">+AY103/AY$59</f>
        <v>5.5301162381120116E-2</v>
      </c>
      <c r="AZ105" s="347">
        <f t="shared" si="532"/>
        <v>6.1632109568194787E-2</v>
      </c>
      <c r="BA105" s="340">
        <f t="shared" ref="BA105:BC105" si="533">+BA103/BA$59</f>
        <v>1.6368596544407397E-2</v>
      </c>
      <c r="BB105" s="347">
        <f t="shared" si="533"/>
        <v>0.11628562039340876</v>
      </c>
      <c r="BC105" s="347">
        <f t="shared" si="533"/>
        <v>9.5246604717655461E-2</v>
      </c>
      <c r="BD105" s="347">
        <f t="shared" ref="BD105:BE105" si="534">+BD103/BD$59</f>
        <v>5.6024328607529879E-2</v>
      </c>
      <c r="BE105" s="347">
        <f t="shared" si="534"/>
        <v>0.11185022903804023</v>
      </c>
      <c r="BF105" s="340">
        <f t="shared" ref="BF105:BH105" si="535">+BF103/BF$59</f>
        <v>3.0476355861380335E-2</v>
      </c>
      <c r="BG105" s="347">
        <f t="shared" si="535"/>
        <v>7.068860450944546E-2</v>
      </c>
      <c r="BH105" s="347">
        <f t="shared" si="535"/>
        <v>8.9263575502107617E-2</v>
      </c>
      <c r="BI105" s="340">
        <f t="shared" ref="BI105:BK105" si="536">+BI103/BI$59</f>
        <v>4.8448806454295931E-2</v>
      </c>
      <c r="BJ105" s="340">
        <f t="shared" si="536"/>
        <v>4.0593286494925843E-2</v>
      </c>
      <c r="BK105" s="340">
        <f t="shared" si="536"/>
        <v>1.0164818206135929E-2</v>
      </c>
      <c r="BL105" s="340">
        <f t="shared" ref="BL105:BP105" si="537">+BL103/BL$59</f>
        <v>2.6400884122631082E-2</v>
      </c>
      <c r="BM105" s="340">
        <f t="shared" si="537"/>
        <v>5.364869974372978E-2</v>
      </c>
      <c r="BN105" s="340">
        <f t="shared" ref="BN105:BO105" si="538">+BN103/BN$59</f>
        <v>5.4595715272978573E-2</v>
      </c>
      <c r="BO105" s="340">
        <f t="shared" si="538"/>
        <v>4.8406769324592161E-2</v>
      </c>
      <c r="BP105" s="340">
        <f t="shared" si="537"/>
        <v>1.2634804409248279E-2</v>
      </c>
      <c r="BQ105" s="340">
        <f t="shared" ref="BQ105:BS105" si="539">+BQ103/BQ$59</f>
        <v>4.9320506947625589E-2</v>
      </c>
      <c r="BR105" s="340">
        <f t="shared" si="539"/>
        <v>7.5291339782161626E-2</v>
      </c>
      <c r="BS105" s="340">
        <f t="shared" si="539"/>
        <v>7.2957938127826472E-2</v>
      </c>
      <c r="BT105" s="340">
        <f t="shared" ref="BT105:BU105" si="540">+BT103/BT$59</f>
        <v>4.5806181166876264E-2</v>
      </c>
      <c r="BU105" s="340">
        <f t="shared" si="540"/>
        <v>1.1593140564418125E-2</v>
      </c>
      <c r="BV105" s="340">
        <f t="shared" ref="BV105:BZ105" si="541">+BV103/BV$59</f>
        <v>5.5555555555555552E-2</v>
      </c>
      <c r="BW105" s="340">
        <f t="shared" si="541"/>
        <v>6.6666666666666666E-2</v>
      </c>
      <c r="BX105" s="340">
        <f t="shared" si="541"/>
        <v>6.6666666666666666E-2</v>
      </c>
      <c r="BY105" s="340">
        <f t="shared" si="541"/>
        <v>6.6666666666666666E-2</v>
      </c>
      <c r="BZ105" s="340">
        <f t="shared" si="541"/>
        <v>1.7022592427124963E-2</v>
      </c>
      <c r="CA105" s="340">
        <f t="shared" ref="CA105:CE105" si="542">+CA103/CA$59</f>
        <v>5.5555555555555559E-2</v>
      </c>
      <c r="CB105" s="340">
        <f t="shared" si="542"/>
        <v>6.6666666666666666E-2</v>
      </c>
      <c r="CC105" s="340">
        <f t="shared" si="542"/>
        <v>6.6666666666666666E-2</v>
      </c>
      <c r="CD105" s="340">
        <f t="shared" si="542"/>
        <v>6.6666666666666666E-2</v>
      </c>
      <c r="CE105" s="340">
        <f t="shared" si="542"/>
        <v>1.6705424415507392E-2</v>
      </c>
    </row>
    <row r="106" spans="2:83" ht="12.75">
      <c r="B106" s="273" t="s">
        <v>128</v>
      </c>
      <c r="C106" s="166"/>
      <c r="D106" s="345"/>
      <c r="E106" s="345"/>
      <c r="F106" s="345"/>
      <c r="G106" s="345"/>
      <c r="H106" s="345"/>
      <c r="I106" s="345"/>
      <c r="J106" s="345"/>
      <c r="K106" s="345"/>
      <c r="L106" s="348">
        <f>+L103/G103-1</f>
        <v>-4.9729197439684958E-2</v>
      </c>
      <c r="M106" s="348">
        <f>+M103/H103-1</f>
        <v>-4.9729197439684958E-2</v>
      </c>
      <c r="N106" s="348"/>
      <c r="O106" s="348"/>
      <c r="P106" s="348"/>
      <c r="Q106" s="348">
        <f>+Q103/L103-1</f>
        <v>1.9331606217616581</v>
      </c>
      <c r="R106" s="348">
        <f>+R103/M103-1</f>
        <v>1.9331606217616581</v>
      </c>
      <c r="S106" s="348">
        <f t="shared" ref="S106" si="543">+S103/N103-1</f>
        <v>1.6848364717542141E-2</v>
      </c>
      <c r="T106" s="348">
        <f t="shared" ref="T106" si="544">+T103/O103-1</f>
        <v>-0.39942363112391932</v>
      </c>
      <c r="U106" s="348">
        <f t="shared" ref="U106" si="545">+U103/P103-1</f>
        <v>8.2718651211801886E-2</v>
      </c>
      <c r="V106" s="348">
        <f t="shared" ref="V106" si="546">+V103/Q103-1</f>
        <v>-0.58169934640522869</v>
      </c>
      <c r="W106" s="348">
        <f t="shared" ref="W106" si="547">+W103/R103-1</f>
        <v>-0.58169934640522869</v>
      </c>
      <c r="X106" s="348">
        <f t="shared" ref="X106" si="548">+X103/S103-1</f>
        <v>1.1408382066276803</v>
      </c>
      <c r="Y106" s="348">
        <f t="shared" ref="Y106" si="549">+Y103/T103-1</f>
        <v>4.6170825335892518</v>
      </c>
      <c r="Z106" s="348">
        <f t="shared" ref="Z106" si="550">+Z103/U103-1</f>
        <v>-0.27445255474452557</v>
      </c>
      <c r="AA106" s="348">
        <f t="shared" ref="AA106" si="551">+AA103/V103-1</f>
        <v>-0.1338682432432432</v>
      </c>
      <c r="AB106" s="348">
        <f t="shared" ref="AB106" si="552">+AB103/W103-1</f>
        <v>-0.1338682432432432</v>
      </c>
      <c r="AC106" s="348">
        <f t="shared" ref="AC106" si="553">+AC103/X103-1</f>
        <v>-1.2519918051445478E-2</v>
      </c>
      <c r="AD106" s="348">
        <f t="shared" ref="AD106:AJ106" si="554">+AD103/Y103-1</f>
        <v>-0.67127968563130014</v>
      </c>
      <c r="AE106" s="348">
        <f t="shared" si="554"/>
        <v>-6.2374245472836987E-2</v>
      </c>
      <c r="AF106" s="348">
        <f t="shared" si="554"/>
        <v>-0.44222330570453439</v>
      </c>
      <c r="AG106" s="348">
        <f t="shared" si="554"/>
        <v>-0.44222330570453439</v>
      </c>
      <c r="AH106" s="348">
        <f t="shared" si="554"/>
        <v>-0.69801751959428304</v>
      </c>
      <c r="AI106" s="348">
        <f t="shared" si="554"/>
        <v>-0.46777546777546775</v>
      </c>
      <c r="AJ106" s="348">
        <f t="shared" si="554"/>
        <v>2.3783977110157366</v>
      </c>
      <c r="AK106" s="348">
        <f t="shared" ref="AK106" si="555">+AK103/AF103-1</f>
        <v>3.884615384615385</v>
      </c>
      <c r="AL106" s="348">
        <f t="shared" ref="AL106:BH106" si="556">+AL103/AG103-1</f>
        <v>3.884615384615385</v>
      </c>
      <c r="AM106" s="348">
        <f t="shared" si="556"/>
        <v>-0.56793893129770989</v>
      </c>
      <c r="AN106" s="348">
        <f t="shared" si="556"/>
        <v>-5.95703125E-2</v>
      </c>
      <c r="AO106" s="348">
        <f t="shared" si="556"/>
        <v>-0.80753758204531012</v>
      </c>
      <c r="AP106" s="348">
        <f t="shared" si="556"/>
        <v>-0.84824624194702936</v>
      </c>
      <c r="AQ106" s="348">
        <f t="shared" si="556"/>
        <v>-0.84824624194702936</v>
      </c>
      <c r="AR106" s="348">
        <f t="shared" si="556"/>
        <v>0.1537102473498233</v>
      </c>
      <c r="AS106" s="348">
        <f t="shared" si="556"/>
        <v>0.44859813084112155</v>
      </c>
      <c r="AT106" s="348">
        <f t="shared" si="556"/>
        <v>1.4455445544554455</v>
      </c>
      <c r="AU106" s="348">
        <f t="shared" si="556"/>
        <v>-0.13797169811320753</v>
      </c>
      <c r="AV106" s="306">
        <f t="shared" ref="AV106" si="557">+AV103/AQ103-1</f>
        <v>-0.13797169811320753</v>
      </c>
      <c r="AW106" s="348">
        <f t="shared" si="556"/>
        <v>0.78254211332312407</v>
      </c>
      <c r="AX106" s="348">
        <f t="shared" si="556"/>
        <v>0.14480286738351245</v>
      </c>
      <c r="AY106" s="348">
        <f t="shared" si="556"/>
        <v>-0.50562303193882141</v>
      </c>
      <c r="AZ106" s="348">
        <f t="shared" si="556"/>
        <v>0.77291381668946646</v>
      </c>
      <c r="BA106" s="306">
        <f t="shared" ref="BA106" si="558">+BA103/AV103-1</f>
        <v>0.77291381668946646</v>
      </c>
      <c r="BB106" s="348">
        <f t="shared" si="556"/>
        <v>1.1280068728522337</v>
      </c>
      <c r="BC106" s="348">
        <f t="shared" si="556"/>
        <v>0.33500313087038203</v>
      </c>
      <c r="BD106" s="348">
        <f t="shared" si="556"/>
        <v>0.19017288444040026</v>
      </c>
      <c r="BE106" s="348">
        <f t="shared" si="556"/>
        <v>1.1666666666666665</v>
      </c>
      <c r="BF106" s="306">
        <f t="shared" ref="BF106" si="559">+BF103/BA103-1</f>
        <v>1.1666666666666665</v>
      </c>
      <c r="BG106" s="348">
        <f t="shared" si="556"/>
        <v>-0.297537343560759</v>
      </c>
      <c r="BH106" s="348">
        <f t="shared" si="556"/>
        <v>1.3133208255159401E-2</v>
      </c>
      <c r="BI106" s="306">
        <f t="shared" ref="BI106" si="560">+BI103/BD103-1</f>
        <v>-0.10932721712538229</v>
      </c>
      <c r="BJ106" s="306">
        <f t="shared" ref="BJ106" si="561">+BJ103/BE103-1</f>
        <v>-0.64814814814814814</v>
      </c>
      <c r="BK106" s="306">
        <f t="shared" ref="BK106" si="562">+BK103/BF103-1</f>
        <v>-0.64814814814814814</v>
      </c>
      <c r="BL106" s="306">
        <f t="shared" ref="BL106" si="563">+BL103/BG103-1</f>
        <v>-0.62931034482758619</v>
      </c>
      <c r="BM106" s="306">
        <f t="shared" ref="BM106:BO106" si="564">+BM103/BH103-1</f>
        <v>-0.40879629629629632</v>
      </c>
      <c r="BN106" s="306">
        <f t="shared" si="564"/>
        <v>0.22060085836909882</v>
      </c>
      <c r="BO106" s="306">
        <f t="shared" si="564"/>
        <v>0.28542510121457498</v>
      </c>
      <c r="BP106" s="306">
        <f t="shared" ref="BP106:BS106" si="565">+BP103/BK103-1</f>
        <v>0.28542510121457498</v>
      </c>
      <c r="BQ106" s="306">
        <f t="shared" si="565"/>
        <v>1.0031007751937984</v>
      </c>
      <c r="BR106" s="306">
        <f t="shared" si="565"/>
        <v>0.54815974941268597</v>
      </c>
      <c r="BS106" s="306">
        <f t="shared" si="565"/>
        <v>0.28199718706047827</v>
      </c>
      <c r="BT106" s="306">
        <f t="shared" ref="BT106" si="566">+BT103/BO103-1</f>
        <v>-5.3543307086614145E-2</v>
      </c>
      <c r="BU106" s="306">
        <f t="shared" ref="BU106" si="567">+BU103/BP103-1</f>
        <v>-5.3543307086614145E-2</v>
      </c>
      <c r="BV106" s="306">
        <f t="shared" ref="BV106" si="568">+BV103/BQ103-1</f>
        <v>0.19360450636394932</v>
      </c>
      <c r="BW106" s="306">
        <f t="shared" ref="BW106" si="569">+BW103/BR103-1</f>
        <v>-4.4008983308042482E-2</v>
      </c>
      <c r="BX106" s="306">
        <f t="shared" ref="BX106" si="570">+BX103/BS103-1</f>
        <v>4.8522016822088121E-2</v>
      </c>
      <c r="BY106" s="306">
        <f t="shared" ref="BY106" si="571">+BY103/BT103-1</f>
        <v>0.61234163616195247</v>
      </c>
      <c r="BZ106" s="306">
        <f t="shared" ref="BZ106" si="572">+BZ103/BU103-1</f>
        <v>0.61234163616195247</v>
      </c>
      <c r="CA106" s="306">
        <f t="shared" ref="CA106" si="573">+CA103/BV103-1</f>
        <v>6.6500000000000004E-2</v>
      </c>
      <c r="CB106" s="306">
        <f t="shared" ref="CB106" si="574">+CB103/BW103-1</f>
        <v>4.3250000000000677E-2</v>
      </c>
      <c r="CC106" s="306">
        <f t="shared" ref="CC106" si="575">+CC103/BX103-1</f>
        <v>4.6496815286624082E-2</v>
      </c>
      <c r="CD106" s="306">
        <f t="shared" ref="CD106" si="576">+CD103/BY103-1</f>
        <v>2.5806451612903514E-2</v>
      </c>
      <c r="CE106" s="306">
        <f t="shared" ref="CE106" si="577">+CE103/BZ103-1</f>
        <v>2.5806451612903514E-2</v>
      </c>
    </row>
    <row r="107" spans="2:83" ht="12.75">
      <c r="B107" s="273" t="s">
        <v>129</v>
      </c>
      <c r="C107" s="166"/>
      <c r="D107" s="345"/>
      <c r="E107" s="345"/>
      <c r="F107" s="345"/>
      <c r="G107" s="345"/>
      <c r="H107" s="345"/>
      <c r="I107" s="345"/>
      <c r="J107" s="345"/>
      <c r="K107" s="345"/>
      <c r="L107" s="345"/>
      <c r="M107" s="345"/>
      <c r="N107" s="348">
        <f>+N103/L103-1</f>
        <v>4.5595854922279688E-2</v>
      </c>
      <c r="O107" s="348">
        <f>+O103/N103-1</f>
        <v>-0.14023785926660048</v>
      </c>
      <c r="P107" s="348">
        <f t="shared" ref="P107" si="578">+P103/O103-1</f>
        <v>9.3948126801152831E-2</v>
      </c>
      <c r="Q107" s="348">
        <f t="shared" ref="Q107" si="579">+Q103/P103-1</f>
        <v>1.982613277133825</v>
      </c>
      <c r="R107" s="345"/>
      <c r="S107" s="348">
        <f>+S103/Q103-1</f>
        <v>-0.63751987281399047</v>
      </c>
      <c r="T107" s="348">
        <f>+T103/S103-1</f>
        <v>-0.49220272904483431</v>
      </c>
      <c r="U107" s="348">
        <f t="shared" ref="U107" si="580">+U103/T103-1</f>
        <v>0.97216890595009597</v>
      </c>
      <c r="V107" s="348">
        <f t="shared" ref="V107" si="581">+V103/U103-1</f>
        <v>0.15231143552311432</v>
      </c>
      <c r="W107" s="345"/>
      <c r="X107" s="348">
        <f>+X103/V103-1</f>
        <v>0.85515202702702697</v>
      </c>
      <c r="Y107" s="348">
        <f>+Y103/X103-1</f>
        <v>0.33234691554746187</v>
      </c>
      <c r="Z107" s="348">
        <f t="shared" ref="Z107" si="582">+Z103/Y103-1</f>
        <v>-0.74525884161968214</v>
      </c>
      <c r="AA107" s="348">
        <f t="shared" ref="AA107" si="583">+AA103/Z103-1</f>
        <v>0.37558685446009399</v>
      </c>
      <c r="AB107" s="345"/>
      <c r="AC107" s="348">
        <f>+AC103/AA103-1</f>
        <v>1.1150658215504632</v>
      </c>
      <c r="AD107" s="348">
        <f>+AD103/AC103-1</f>
        <v>-0.55647763946519135</v>
      </c>
      <c r="AE107" s="348">
        <f>+AE103/AD103-1</f>
        <v>-0.27338877338877343</v>
      </c>
      <c r="AF107" s="348">
        <f>+AF103/AE103-1</f>
        <v>-0.18168812589413452</v>
      </c>
      <c r="AG107" s="345"/>
      <c r="AH107" s="348">
        <f>+AH103/AF103-1</f>
        <v>0.14510489510489522</v>
      </c>
      <c r="AI107" s="348">
        <f>+AI103/AH103-1</f>
        <v>-0.21832061068702291</v>
      </c>
      <c r="AJ107" s="348">
        <f>+AJ103/AI103-1</f>
        <v>3.6123046875</v>
      </c>
      <c r="AK107" s="348">
        <f>+AK103/AJ103-1</f>
        <v>0.18314630531441889</v>
      </c>
      <c r="AL107" s="345"/>
      <c r="AM107" s="348">
        <f>+AM103/AK103-1</f>
        <v>-0.89871152469577664</v>
      </c>
      <c r="AN107" s="348">
        <f>+AN103/AM103-1</f>
        <v>0.70141342756183755</v>
      </c>
      <c r="AO107" s="348">
        <f>+AO103/AN103-1</f>
        <v>-5.6074766355140193E-2</v>
      </c>
      <c r="AP107" s="348">
        <f>+AP103/AO103-1</f>
        <v>-6.7106710671067105E-2</v>
      </c>
      <c r="AQ107" s="345"/>
      <c r="AR107" s="348">
        <f>+AR103/AP103-1</f>
        <v>-0.22995283018867929</v>
      </c>
      <c r="AS107" s="348">
        <f>+AS103/AR103-1</f>
        <v>1.1362940275650844</v>
      </c>
      <c r="AT107" s="348">
        <f>+AT103/AS103-1</f>
        <v>0.59354838709677415</v>
      </c>
      <c r="AU107" s="348">
        <f>+AU103/AT103-1</f>
        <v>-0.6711650922177238</v>
      </c>
      <c r="AV107" s="166"/>
      <c r="AW107" s="348">
        <f>+AW103/AU103-1</f>
        <v>0.59233926128590975</v>
      </c>
      <c r="AX107" s="306">
        <f>+AX103/AW103-1</f>
        <v>0.37199312714776633</v>
      </c>
      <c r="AY107" s="306">
        <f>+AY103/AX103-1</f>
        <v>-0.31183469004383213</v>
      </c>
      <c r="AZ107" s="306">
        <f>+AZ103/AY103-1</f>
        <v>0.17925386715195635</v>
      </c>
      <c r="BA107" s="166"/>
      <c r="BB107" s="348">
        <f>+BB103/AZ103-1</f>
        <v>0.91126543209876543</v>
      </c>
      <c r="BC107" s="306">
        <f>+BC103/BB103-1</f>
        <v>-0.13928138877674612</v>
      </c>
      <c r="BD107" s="306">
        <f>+BD103/BC103-1</f>
        <v>-0.38649155722326456</v>
      </c>
      <c r="BE107" s="306">
        <f>+BE103/BD103-1</f>
        <v>1.1467889908256881</v>
      </c>
      <c r="BF107" s="166"/>
      <c r="BG107" s="348">
        <f>+BG103/BE103-1</f>
        <v>-0.38034188034188032</v>
      </c>
      <c r="BH107" s="306">
        <f>+BH103/BG103-1</f>
        <v>0.24137931034482762</v>
      </c>
      <c r="BI107" s="306">
        <f t="shared" ref="BI107" si="584">+BI103/BH103-1</f>
        <v>-0.46064814814814814</v>
      </c>
      <c r="BJ107" s="306">
        <f t="shared" ref="BJ107" si="585">+BJ103/BI103-1</f>
        <v>-0.15193133047210305</v>
      </c>
      <c r="BK107" s="166"/>
      <c r="BL107" s="306">
        <f>+BL103/BJ103-1</f>
        <v>-0.34716599190283404</v>
      </c>
      <c r="BM107" s="306">
        <f>+BM103/BL103-1</f>
        <v>0.97984496124031017</v>
      </c>
      <c r="BN107" s="306">
        <f>+BN103/BM103-1</f>
        <v>0.11354737666405645</v>
      </c>
      <c r="BO107" s="306">
        <f>+BO103/BN103-1</f>
        <v>-0.10689170182841068</v>
      </c>
      <c r="BP107" s="166"/>
      <c r="BQ107" s="306">
        <f>+BQ103/BO103-1</f>
        <v>1.7322834645669305E-2</v>
      </c>
      <c r="BR107" s="306">
        <f>+BR103/BQ103-1</f>
        <v>0.53018575851393179</v>
      </c>
      <c r="BS107" s="306">
        <f>+BS103/BR103-1</f>
        <v>-7.7895801719777391E-2</v>
      </c>
      <c r="BT107" s="306">
        <f t="shared" ref="BT107" si="586">+BT103/BS103-1</f>
        <v>-0.34064728469555683</v>
      </c>
      <c r="BU107" s="166"/>
      <c r="BV107" s="306">
        <f>+BV103/BT103-1</f>
        <v>0.28297589203179907</v>
      </c>
      <c r="BW107" s="306">
        <f>+BW103/BV103-1</f>
        <v>0.22556829436369719</v>
      </c>
      <c r="BX107" s="306">
        <f t="shared" ref="BX107" si="587">+BX103/BW103-1</f>
        <v>1.1355270938109729E-2</v>
      </c>
      <c r="BY107" s="306">
        <f t="shared" ref="BY107" si="588">+BY103/BX103-1</f>
        <v>1.3905114767063464E-2</v>
      </c>
      <c r="BZ107" s="166"/>
      <c r="CA107" s="306">
        <f>+CA103/BY103-1</f>
        <v>-0.15136236752588916</v>
      </c>
      <c r="CB107" s="306">
        <f>+CB103/CA103-1</f>
        <v>0.19885056080162022</v>
      </c>
      <c r="CC107" s="306">
        <f t="shared" ref="CC107" si="589">+CC103/CB103-1</f>
        <v>1.4502823062613635E-2</v>
      </c>
      <c r="CD107" s="306">
        <f t="shared" ref="CD107" si="590">+CD103/CC103-1</f>
        <v>-6.1408760555938802E-3</v>
      </c>
      <c r="CE107" s="166"/>
    </row>
    <row r="108" spans="2:83" ht="12.75">
      <c r="B108" s="166" t="s">
        <v>219</v>
      </c>
      <c r="C108" s="315"/>
      <c r="D108" s="351"/>
      <c r="E108" s="351"/>
      <c r="F108" s="351"/>
      <c r="G108" s="351">
        <f>+G53</f>
        <v>0</v>
      </c>
      <c r="H108" s="351">
        <f>+H53</f>
        <v>0</v>
      </c>
      <c r="I108" s="351"/>
      <c r="J108" s="351"/>
      <c r="K108" s="351"/>
      <c r="L108" s="351">
        <f t="shared" ref="L108:AI108" si="591">+L53</f>
        <v>27.136384939853137</v>
      </c>
      <c r="M108" s="351">
        <f t="shared" si="591"/>
        <v>29.427934621099549</v>
      </c>
      <c r="N108" s="351">
        <f t="shared" si="591"/>
        <v>27.119605793638943</v>
      </c>
      <c r="O108" s="351">
        <f t="shared" si="591"/>
        <v>22.253099615220183</v>
      </c>
      <c r="P108" s="351">
        <f t="shared" si="591"/>
        <v>23.574385868065136</v>
      </c>
      <c r="Q108" s="351">
        <f t="shared" si="591"/>
        <v>70.313276290367099</v>
      </c>
      <c r="R108" s="351">
        <f t="shared" si="591"/>
        <v>48.442884492661143</v>
      </c>
      <c r="S108" s="351">
        <f t="shared" si="591"/>
        <v>24.185437401781037</v>
      </c>
      <c r="T108" s="351">
        <f t="shared" si="591"/>
        <v>12.003071803404582</v>
      </c>
      <c r="U108" s="351">
        <f t="shared" si="591"/>
        <v>21.942104638747182</v>
      </c>
      <c r="V108" s="351">
        <f t="shared" si="591"/>
        <v>24.337101747173687</v>
      </c>
      <c r="W108" s="351">
        <f t="shared" si="591"/>
        <v>44.284357285123335</v>
      </c>
      <c r="X108" s="351">
        <f t="shared" si="591"/>
        <v>43.750138320239017</v>
      </c>
      <c r="Y108" s="351">
        <f t="shared" si="591"/>
        <v>54.480297859137451</v>
      </c>
      <c r="Z108" s="351">
        <f t="shared" si="591"/>
        <v>12.457296695135536</v>
      </c>
      <c r="AA108" s="351">
        <f t="shared" si="591"/>
        <v>16.574481458202388</v>
      </c>
      <c r="AB108" s="351">
        <f t="shared" si="591"/>
        <v>19.584390003693215</v>
      </c>
      <c r="AC108" s="351">
        <f t="shared" si="591"/>
        <v>33.106079877893663</v>
      </c>
      <c r="AD108" s="351">
        <f t="shared" si="591"/>
        <v>14.905741585607299</v>
      </c>
      <c r="AE108" s="351">
        <f t="shared" si="591"/>
        <v>10.389760528488852</v>
      </c>
      <c r="AF108" s="351">
        <f t="shared" si="591"/>
        <v>7.6601443344989217</v>
      </c>
      <c r="AG108" s="351">
        <f t="shared" si="591"/>
        <v>11.74608361757317</v>
      </c>
      <c r="AH108" s="351">
        <f t="shared" si="591"/>
        <v>8.0538288134435412</v>
      </c>
      <c r="AI108" s="351">
        <f t="shared" si="591"/>
        <v>6.2270270270270274</v>
      </c>
      <c r="AJ108" s="351">
        <f t="shared" ref="AJ108:AN108" si="592">+AJ53</f>
        <v>28.249484947165548</v>
      </c>
      <c r="AK108" s="351">
        <f t="shared" si="592"/>
        <v>32.269489894128967</v>
      </c>
      <c r="AL108" s="351">
        <f t="shared" si="592"/>
        <v>20.172129646584875</v>
      </c>
      <c r="AM108" s="351">
        <f t="shared" si="592"/>
        <v>3.2510051694428488</v>
      </c>
      <c r="AN108" s="351">
        <f t="shared" si="592"/>
        <v>5.5963065797120164</v>
      </c>
      <c r="AO108" s="351">
        <f t="shared" ref="AO108:AS108" si="593">+AO53</f>
        <v>5.4409417398244218</v>
      </c>
      <c r="AP108" s="351">
        <f t="shared" si="593"/>
        <v>5.0610079575596814</v>
      </c>
      <c r="AQ108" s="351">
        <f t="shared" si="593"/>
        <v>18.907168037602819</v>
      </c>
      <c r="AR108" s="351">
        <f t="shared" si="593"/>
        <v>3.5865983156352983</v>
      </c>
      <c r="AS108" s="351">
        <f t="shared" si="593"/>
        <v>7.4674359126866117</v>
      </c>
      <c r="AT108" s="351">
        <f t="shared" ref="AT108" si="594">+AT53</f>
        <v>10.950738916256158</v>
      </c>
      <c r="AU108" s="351">
        <f t="shared" ref="AU108" si="595">+AU53</f>
        <v>3.4994680851063831</v>
      </c>
      <c r="AV108" s="354">
        <f>+AV53</f>
        <v>4.0447423472655082</v>
      </c>
      <c r="AW108" s="351">
        <f t="shared" ref="AW108:AX108" si="596">+AW53</f>
        <v>5.4605160281469898</v>
      </c>
      <c r="AX108" s="351">
        <f t="shared" si="596"/>
        <v>7.5290728129910951</v>
      </c>
      <c r="AY108" s="351">
        <f t="shared" ref="AY108:AZ108" si="597">+AY53</f>
        <v>4.97710461430081</v>
      </c>
      <c r="AZ108" s="351">
        <f t="shared" si="597"/>
        <v>5.5468898611375312</v>
      </c>
      <c r="BA108" s="354">
        <f>+BA53</f>
        <v>4.6082146104880266</v>
      </c>
      <c r="BB108" s="351">
        <f t="shared" ref="BB108:BC108" si="598">+BB53</f>
        <v>10.465705835406789</v>
      </c>
      <c r="BC108" s="351">
        <f t="shared" si="598"/>
        <v>8.5721944245889912</v>
      </c>
      <c r="BD108" s="351">
        <f t="shared" ref="BD108:BE108" si="599">+BD53</f>
        <v>5.042189574677689</v>
      </c>
      <c r="BE108" s="351">
        <f t="shared" si="599"/>
        <v>10.066520613423622</v>
      </c>
      <c r="BF108" s="354">
        <f>+BF53</f>
        <v>8.0176259266092895</v>
      </c>
      <c r="BG108" s="351">
        <f t="shared" ref="BG108:BM108" si="600">+BG53</f>
        <v>6.3619744058500913</v>
      </c>
      <c r="BH108" s="351">
        <f t="shared" si="600"/>
        <v>8.0337217951896847</v>
      </c>
      <c r="BI108" s="351">
        <f t="shared" si="600"/>
        <v>4.360392580886634</v>
      </c>
      <c r="BJ108" s="351">
        <f t="shared" si="600"/>
        <v>3.653395784543326</v>
      </c>
      <c r="BK108" s="354">
        <f>+BK53</f>
        <v>7.0297742751908476</v>
      </c>
      <c r="BL108" s="351">
        <f t="shared" si="600"/>
        <v>2.3760795710367972</v>
      </c>
      <c r="BM108" s="351">
        <f t="shared" si="600"/>
        <v>4.8283829769356803</v>
      </c>
      <c r="BN108" s="351">
        <f t="shared" ref="BN108:BO108" si="601">+BN53</f>
        <v>4.9136143745680716</v>
      </c>
      <c r="BO108" s="351">
        <f t="shared" si="601"/>
        <v>4.3566092392132942</v>
      </c>
      <c r="BP108" s="354">
        <f>+BP53</f>
        <v>4.0435353575550161</v>
      </c>
      <c r="BQ108" s="351">
        <f t="shared" ref="BQ108:BT108" si="602">+BQ53</f>
        <v>4.4388456252863033</v>
      </c>
      <c r="BR108" s="351">
        <f t="shared" si="602"/>
        <v>6.7762205803945461</v>
      </c>
      <c r="BS108" s="351">
        <f t="shared" si="602"/>
        <v>6.5662144315043829</v>
      </c>
      <c r="BT108" s="351">
        <f t="shared" si="602"/>
        <v>4.1225563050188638</v>
      </c>
      <c r="BU108" s="354">
        <f>+BU53</f>
        <v>4.2915838814837679</v>
      </c>
      <c r="BV108" s="315">
        <v>5</v>
      </c>
      <c r="BW108" s="315">
        <v>6</v>
      </c>
      <c r="BX108" s="315">
        <v>6</v>
      </c>
      <c r="BY108" s="315">
        <v>6</v>
      </c>
      <c r="BZ108" s="354">
        <f>+BZ53</f>
        <v>4.9644496377062239</v>
      </c>
      <c r="CA108" s="315">
        <v>5</v>
      </c>
      <c r="CB108" s="315">
        <v>6</v>
      </c>
      <c r="CC108" s="315">
        <v>6</v>
      </c>
      <c r="CD108" s="315">
        <v>6</v>
      </c>
      <c r="CE108" s="354">
        <f>+CE53</f>
        <v>5.9383055846822499</v>
      </c>
    </row>
    <row r="109" spans="2:83" ht="12.75">
      <c r="B109" s="166"/>
      <c r="C109" s="315"/>
      <c r="D109" s="346"/>
      <c r="E109" s="346"/>
      <c r="F109" s="346"/>
      <c r="G109" s="346"/>
      <c r="H109" s="346"/>
      <c r="I109" s="346"/>
      <c r="J109" s="346"/>
      <c r="K109" s="346"/>
      <c r="L109" s="346"/>
      <c r="M109" s="346"/>
      <c r="N109" s="346"/>
      <c r="O109" s="346"/>
      <c r="P109" s="346"/>
      <c r="Q109" s="346"/>
      <c r="R109" s="346"/>
      <c r="S109" s="346"/>
      <c r="T109" s="346"/>
      <c r="U109" s="346"/>
      <c r="V109" s="346"/>
      <c r="W109" s="346"/>
      <c r="X109" s="346"/>
      <c r="Y109" s="346"/>
      <c r="Z109" s="346"/>
      <c r="AA109" s="346"/>
      <c r="AB109" s="346"/>
      <c r="AC109" s="346"/>
      <c r="AD109" s="346"/>
      <c r="AE109" s="346"/>
      <c r="AF109" s="346"/>
      <c r="AG109" s="346"/>
      <c r="AH109" s="346"/>
      <c r="AI109" s="346"/>
      <c r="AJ109" s="346"/>
      <c r="AK109" s="346"/>
      <c r="AL109" s="346"/>
      <c r="AM109" s="346"/>
      <c r="AN109" s="346"/>
      <c r="AO109" s="346"/>
      <c r="AP109" s="346"/>
      <c r="AQ109" s="346"/>
      <c r="AR109" s="346"/>
      <c r="AS109" s="346"/>
      <c r="AT109" s="346"/>
      <c r="AU109" s="315"/>
      <c r="AV109" s="315"/>
      <c r="AW109" s="315"/>
      <c r="AX109" s="315"/>
      <c r="AY109" s="315"/>
      <c r="AZ109" s="315"/>
      <c r="BA109" s="315"/>
      <c r="BB109" s="315"/>
      <c r="BC109" s="315"/>
      <c r="BD109" s="315"/>
      <c r="BE109" s="315"/>
      <c r="BF109" s="315"/>
      <c r="BG109" s="315"/>
      <c r="BH109" s="315"/>
      <c r="BI109" s="315"/>
      <c r="BJ109" s="315"/>
      <c r="BK109" s="315"/>
      <c r="BL109" s="315"/>
      <c r="BM109" s="315"/>
      <c r="BN109" s="315"/>
      <c r="BO109" s="315"/>
      <c r="BP109" s="315"/>
      <c r="BQ109" s="315"/>
      <c r="BR109" s="315"/>
      <c r="BS109" s="315"/>
      <c r="BT109" s="315"/>
      <c r="BU109" s="315"/>
      <c r="BV109" s="315"/>
      <c r="BW109" s="315"/>
      <c r="BX109" s="315"/>
      <c r="BY109" s="315"/>
      <c r="BZ109" s="315"/>
      <c r="CA109" s="315"/>
      <c r="CB109" s="315"/>
      <c r="CC109" s="315"/>
      <c r="CD109" s="315"/>
      <c r="CE109" s="315"/>
    </row>
    <row r="110" spans="2:83" ht="12.75">
      <c r="B110" s="273" t="s">
        <v>184</v>
      </c>
      <c r="C110" s="166"/>
      <c r="D110" s="344"/>
      <c r="E110" s="344"/>
      <c r="F110" s="344"/>
      <c r="G110" s="344">
        <f>+G28</f>
        <v>7803</v>
      </c>
      <c r="H110" s="344">
        <f>+H28</f>
        <v>7803</v>
      </c>
      <c r="I110" s="344"/>
      <c r="J110" s="344"/>
      <c r="K110" s="344"/>
      <c r="L110" s="344">
        <f t="shared" ref="L110:AQ110" si="603">+L28</f>
        <v>9037</v>
      </c>
      <c r="M110" s="344">
        <f t="shared" si="603"/>
        <v>9037</v>
      </c>
      <c r="N110" s="344">
        <f t="shared" si="603"/>
        <v>8444</v>
      </c>
      <c r="O110" s="344">
        <f t="shared" si="603"/>
        <v>8389</v>
      </c>
      <c r="P110" s="344">
        <f t="shared" si="603"/>
        <v>9101</v>
      </c>
      <c r="Q110" s="344">
        <f t="shared" si="603"/>
        <v>10353</v>
      </c>
      <c r="R110" s="344">
        <f t="shared" si="603"/>
        <v>10353</v>
      </c>
      <c r="S110" s="344">
        <f t="shared" si="603"/>
        <v>10547</v>
      </c>
      <c r="T110" s="344">
        <f t="shared" si="603"/>
        <v>10598</v>
      </c>
      <c r="U110" s="344">
        <f t="shared" si="603"/>
        <v>11358</v>
      </c>
      <c r="V110" s="344">
        <f t="shared" si="603"/>
        <v>11786</v>
      </c>
      <c r="W110" s="344">
        <f t="shared" si="603"/>
        <v>11786</v>
      </c>
      <c r="X110" s="344">
        <f t="shared" si="603"/>
        <v>11513</v>
      </c>
      <c r="Y110" s="344">
        <f t="shared" si="603"/>
        <v>16851</v>
      </c>
      <c r="Z110" s="344">
        <f t="shared" si="603"/>
        <v>16324.000000000002</v>
      </c>
      <c r="AA110" s="344">
        <f t="shared" si="603"/>
        <v>13317</v>
      </c>
      <c r="AB110" s="344">
        <f t="shared" si="603"/>
        <v>13317</v>
      </c>
      <c r="AC110" s="344">
        <f t="shared" si="603"/>
        <v>13338</v>
      </c>
      <c r="AD110" s="344">
        <f t="shared" si="603"/>
        <v>13836</v>
      </c>
      <c r="AE110" s="344">
        <f t="shared" si="603"/>
        <v>14679</v>
      </c>
      <c r="AF110" s="344">
        <f t="shared" si="603"/>
        <v>21444</v>
      </c>
      <c r="AG110" s="344">
        <f t="shared" si="603"/>
        <v>21444</v>
      </c>
      <c r="AH110" s="344">
        <f t="shared" si="603"/>
        <v>22181</v>
      </c>
      <c r="AI110" s="344">
        <f t="shared" si="603"/>
        <v>27454</v>
      </c>
      <c r="AJ110" s="344">
        <f t="shared" si="603"/>
        <v>23208</v>
      </c>
      <c r="AK110" s="344">
        <f t="shared" si="603"/>
        <v>25130</v>
      </c>
      <c r="AL110" s="344">
        <f t="shared" si="603"/>
        <v>25130</v>
      </c>
      <c r="AM110" s="344">
        <f t="shared" si="603"/>
        <v>32017</v>
      </c>
      <c r="AN110" s="344">
        <f t="shared" si="603"/>
        <v>24315</v>
      </c>
      <c r="AO110" s="344">
        <f t="shared" si="603"/>
        <v>25595</v>
      </c>
      <c r="AP110" s="344">
        <f t="shared" si="603"/>
        <v>22784</v>
      </c>
      <c r="AQ110" s="344">
        <f t="shared" si="603"/>
        <v>22784</v>
      </c>
      <c r="AR110" s="344">
        <f t="shared" ref="AR110:BK110" si="604">+AR28</f>
        <v>23753</v>
      </c>
      <c r="AS110" s="344">
        <f t="shared" si="604"/>
        <v>24810</v>
      </c>
      <c r="AT110" s="344">
        <f t="shared" si="604"/>
        <v>24772</v>
      </c>
      <c r="AU110" s="344">
        <f t="shared" si="604"/>
        <v>29833</v>
      </c>
      <c r="AV110" s="182">
        <f t="shared" si="604"/>
        <v>29833</v>
      </c>
      <c r="AW110" s="344">
        <f t="shared" si="604"/>
        <v>27836</v>
      </c>
      <c r="AX110" s="344">
        <f t="shared" si="604"/>
        <v>30685</v>
      </c>
      <c r="AY110" s="344">
        <f t="shared" ref="AY110:AZ110" si="605">+AY28</f>
        <v>33878</v>
      </c>
      <c r="AZ110" s="344">
        <f t="shared" si="605"/>
        <v>32504</v>
      </c>
      <c r="BA110" s="182">
        <f t="shared" si="604"/>
        <v>32504</v>
      </c>
      <c r="BB110" s="344">
        <f t="shared" ref="BB110:BC110" si="606">+BB28</f>
        <v>37083</v>
      </c>
      <c r="BC110" s="344">
        <f t="shared" si="606"/>
        <v>37987</v>
      </c>
      <c r="BD110" s="344">
        <f t="shared" ref="BD110:BE110" si="607">+BD28</f>
        <v>42816</v>
      </c>
      <c r="BE110" s="344">
        <f t="shared" si="607"/>
        <v>42592</v>
      </c>
      <c r="BF110" s="182">
        <f t="shared" si="604"/>
        <v>42592</v>
      </c>
      <c r="BG110" s="344">
        <f t="shared" si="604"/>
        <v>41777</v>
      </c>
      <c r="BH110" s="344">
        <f t="shared" si="604"/>
        <v>52637</v>
      </c>
      <c r="BI110" s="182">
        <f t="shared" si="604"/>
        <v>49838</v>
      </c>
      <c r="BJ110" s="182">
        <f t="shared" ref="BJ110" si="608">+BJ28</f>
        <v>43096</v>
      </c>
      <c r="BK110" s="182">
        <f t="shared" si="604"/>
        <v>43096</v>
      </c>
      <c r="BL110" s="182">
        <f t="shared" ref="BL110:BP110" si="609">+BL28</f>
        <v>48246</v>
      </c>
      <c r="BM110" s="182">
        <f t="shared" si="609"/>
        <v>36095</v>
      </c>
      <c r="BN110" s="182">
        <f t="shared" ref="BN110:BO110" si="610">+BN28</f>
        <v>39960</v>
      </c>
      <c r="BO110" s="182">
        <f t="shared" si="610"/>
        <v>45942</v>
      </c>
      <c r="BP110" s="182">
        <f t="shared" si="609"/>
        <v>45942</v>
      </c>
      <c r="BQ110" s="182">
        <f t="shared" ref="BQ110:BS110" si="611">+BQ28</f>
        <v>52921</v>
      </c>
      <c r="BR110" s="182">
        <f t="shared" si="611"/>
        <v>52768</v>
      </c>
      <c r="BS110" s="182">
        <f t="shared" si="611"/>
        <v>51136</v>
      </c>
      <c r="BT110" s="182">
        <f t="shared" ref="BT110:BU110" si="612">+BT28</f>
        <v>57694</v>
      </c>
      <c r="BU110" s="182">
        <f t="shared" si="612"/>
        <v>57694</v>
      </c>
      <c r="BV110" s="182">
        <f t="shared" ref="BV110:BZ110" si="613">+BV28</f>
        <v>59068.593840000001</v>
      </c>
      <c r="BW110" s="182">
        <f t="shared" si="613"/>
        <v>56639.805034999998</v>
      </c>
      <c r="BX110" s="182">
        <f t="shared" si="613"/>
        <v>58392.085903800005</v>
      </c>
      <c r="BY110" s="182">
        <f t="shared" si="613"/>
        <v>66666.118155899996</v>
      </c>
      <c r="BZ110" s="182">
        <f t="shared" si="613"/>
        <v>66666.118155899996</v>
      </c>
      <c r="CA110" s="182">
        <f t="shared" ref="CA110:CE110" si="614">+CA28</f>
        <v>70700.139810409208</v>
      </c>
      <c r="CB110" s="182">
        <f t="shared" si="614"/>
        <v>54636.948491219533</v>
      </c>
      <c r="CC110" s="182">
        <f t="shared" si="614"/>
        <v>60455.522497680598</v>
      </c>
      <c r="CD110" s="182">
        <f t="shared" si="614"/>
        <v>72112.891933636565</v>
      </c>
      <c r="CE110" s="182">
        <f t="shared" si="614"/>
        <v>72112.891933636565</v>
      </c>
    </row>
    <row r="111" spans="2:83" ht="12.75" hidden="1" outlineLevel="1">
      <c r="B111" s="273"/>
      <c r="C111" s="166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  <c r="AA111" s="344"/>
      <c r="AB111" s="344"/>
      <c r="AC111" s="344"/>
      <c r="AD111" s="344"/>
      <c r="AE111" s="344"/>
      <c r="AF111" s="344"/>
      <c r="AG111" s="344"/>
      <c r="AH111" s="344"/>
      <c r="AI111" s="344"/>
      <c r="AJ111" s="344"/>
      <c r="AK111" s="344"/>
      <c r="AL111" s="344"/>
      <c r="AM111" s="344"/>
      <c r="AN111" s="344"/>
      <c r="AO111" s="344"/>
      <c r="AP111" s="344"/>
      <c r="AQ111" s="344"/>
      <c r="AR111" s="344"/>
      <c r="AS111" s="344"/>
      <c r="AT111" s="344"/>
      <c r="AU111" s="344"/>
      <c r="AV111" s="182"/>
      <c r="AW111" s="344"/>
      <c r="AX111" s="344"/>
      <c r="AY111" s="344"/>
      <c r="AZ111" s="344"/>
      <c r="BA111" s="182"/>
      <c r="BB111" s="344"/>
      <c r="BC111" s="344"/>
      <c r="BD111" s="344"/>
      <c r="BE111" s="344"/>
      <c r="BF111" s="182"/>
      <c r="BG111" s="344"/>
      <c r="BH111" s="344"/>
      <c r="BI111" s="182"/>
      <c r="BJ111" s="182"/>
      <c r="BK111" s="182"/>
      <c r="BL111" s="182"/>
      <c r="BM111" s="182"/>
      <c r="BN111" s="182"/>
      <c r="BO111" s="182"/>
      <c r="BP111" s="182"/>
      <c r="BQ111" s="182"/>
      <c r="BR111" s="182"/>
      <c r="BS111" s="182"/>
      <c r="BT111" s="182"/>
      <c r="BU111" s="182"/>
      <c r="BV111" s="182"/>
      <c r="BW111" s="182"/>
      <c r="BX111" s="182"/>
      <c r="BY111" s="182"/>
      <c r="BZ111" s="182"/>
      <c r="CA111" s="182"/>
      <c r="CB111" s="182"/>
      <c r="CC111" s="182"/>
      <c r="CD111" s="182"/>
      <c r="CE111" s="182"/>
    </row>
    <row r="112" spans="2:83" ht="12.75" collapsed="1">
      <c r="B112" s="273" t="s">
        <v>244</v>
      </c>
      <c r="C112" s="166"/>
      <c r="D112" s="345"/>
      <c r="E112" s="345"/>
      <c r="F112" s="345"/>
      <c r="G112" s="347">
        <f>+G110/(G$59+G$60)</f>
        <v>0.35212093862815891</v>
      </c>
      <c r="H112" s="347">
        <f>+H110/(H$59+H$60)</f>
        <v>9.1839977401927897E-2</v>
      </c>
      <c r="I112" s="345"/>
      <c r="J112" s="345"/>
      <c r="K112" s="345"/>
      <c r="L112" s="347">
        <f t="shared" ref="L112:AD112" si="615">+L110/(L$59+L$60)</f>
        <v>0.33325957886196844</v>
      </c>
      <c r="M112" s="347">
        <f t="shared" si="615"/>
        <v>9.0237351093891985E-2</v>
      </c>
      <c r="N112" s="347">
        <f t="shared" si="615"/>
        <v>0.29637429363658702</v>
      </c>
      <c r="O112" s="347">
        <f t="shared" si="615"/>
        <v>0.29926512557077628</v>
      </c>
      <c r="P112" s="347">
        <f t="shared" si="615"/>
        <v>0.32105690196493458</v>
      </c>
      <c r="Q112" s="347">
        <f t="shared" si="615"/>
        <v>0.35807422266800404</v>
      </c>
      <c r="R112" s="347">
        <f t="shared" si="615"/>
        <v>9.0988987810129804E-2</v>
      </c>
      <c r="S112" s="347">
        <f t="shared" si="615"/>
        <v>0.36751690013241339</v>
      </c>
      <c r="T112" s="347">
        <f t="shared" si="615"/>
        <v>0.3511248053540072</v>
      </c>
      <c r="U112" s="347">
        <f t="shared" si="615"/>
        <v>0.36438883541867179</v>
      </c>
      <c r="V112" s="347">
        <f t="shared" si="615"/>
        <v>0.36908527228885479</v>
      </c>
      <c r="W112" s="347">
        <f t="shared" si="615"/>
        <v>9.6619228751311653E-2</v>
      </c>
      <c r="X112" s="347">
        <f t="shared" si="615"/>
        <v>0.33907639747894208</v>
      </c>
      <c r="Y112" s="347">
        <f t="shared" si="615"/>
        <v>0.45895522388059701</v>
      </c>
      <c r="Z112" s="347">
        <f t="shared" si="615"/>
        <v>0.43074649708420198</v>
      </c>
      <c r="AA112" s="347">
        <f t="shared" si="615"/>
        <v>0.3469233574740791</v>
      </c>
      <c r="AB112" s="347">
        <f t="shared" si="615"/>
        <v>9.0620810735405191E-2</v>
      </c>
      <c r="AC112" s="347">
        <f t="shared" si="615"/>
        <v>0.32426518853475311</v>
      </c>
      <c r="AD112" s="347">
        <f t="shared" si="615"/>
        <v>0.34723686191838576</v>
      </c>
      <c r="AE112" s="347">
        <f t="shared" ref="AE112:AI112" si="616">+AE110/(AE$59+AE$60)</f>
        <v>0.35967362540429287</v>
      </c>
      <c r="AF112" s="347">
        <f t="shared" si="616"/>
        <v>0.48428184281842818</v>
      </c>
      <c r="AG112" s="347">
        <f t="shared" si="616"/>
        <v>0.12912549451740521</v>
      </c>
      <c r="AH112" s="347">
        <f t="shared" si="616"/>
        <v>0.47501873862297889</v>
      </c>
      <c r="AI112" s="347">
        <f t="shared" si="616"/>
        <v>0.57451973381325072</v>
      </c>
      <c r="AJ112" s="347">
        <f t="shared" ref="AJ112:AN112" si="617">+AJ110/(AJ$59+AJ$60)</f>
        <v>0.50555482943406094</v>
      </c>
      <c r="AK112" s="347">
        <f t="shared" si="617"/>
        <v>0.48913889753970724</v>
      </c>
      <c r="AL112" s="347">
        <f t="shared" si="617"/>
        <v>0.1310471780270438</v>
      </c>
      <c r="AM112" s="347">
        <f t="shared" si="617"/>
        <v>0.62615140907046329</v>
      </c>
      <c r="AN112" s="347">
        <f t="shared" si="617"/>
        <v>0.46843392991311383</v>
      </c>
      <c r="AO112" s="347">
        <f t="shared" ref="AO112:AS112" si="618">+AO110/(AO$59+AO$60)</f>
        <v>0.5096676556681734</v>
      </c>
      <c r="AP112" s="347">
        <f t="shared" si="618"/>
        <v>0.4229441247447559</v>
      </c>
      <c r="AQ112" s="347">
        <f t="shared" si="618"/>
        <v>0.10999908269725629</v>
      </c>
      <c r="AR112" s="347">
        <f t="shared" si="618"/>
        <v>0.43731934088189267</v>
      </c>
      <c r="AS112" s="347">
        <f t="shared" si="618"/>
        <v>0.47385308835326023</v>
      </c>
      <c r="AT112" s="347">
        <f t="shared" ref="AT112" si="619">+AT110/(AT$59+AT$60)</f>
        <v>0.45309384888336107</v>
      </c>
      <c r="AU112" s="347">
        <f t="shared" ref="AU112" si="620">+AU110/(AU$59+AU$60)</f>
        <v>0.50874829467939975</v>
      </c>
      <c r="AV112" s="340">
        <f>+AV110/(AV$59+AV$60)</f>
        <v>0.13561317538388806</v>
      </c>
      <c r="AW112" s="347">
        <f t="shared" ref="AW112:AX112" si="621">+AW110/(AW$59+AW$60)</f>
        <v>0.46693729660817929</v>
      </c>
      <c r="AX112" s="347">
        <f t="shared" si="621"/>
        <v>0.51021765517700068</v>
      </c>
      <c r="AY112" s="347">
        <f t="shared" ref="AY112:AZ112" si="622">+AY110/(AY$59+AY$60)</f>
        <v>0.5479305827362565</v>
      </c>
      <c r="AZ112" s="347">
        <f t="shared" si="622"/>
        <v>0.4803665114904308</v>
      </c>
      <c r="BA112" s="340">
        <f>+BA110/(BA$59+BA$60)</f>
        <v>0.13040774486557619</v>
      </c>
      <c r="BB112" s="347">
        <f t="shared" ref="BB112:BC112" si="623">+BB110/(BB$59+BB$60)</f>
        <v>0.558193093897703</v>
      </c>
      <c r="BC112" s="347">
        <f t="shared" si="623"/>
        <v>0.52319367545381923</v>
      </c>
      <c r="BD112" s="347">
        <f t="shared" ref="BD112:BE112" si="624">+BD110/(BD$59+BD$60)</f>
        <v>0.55190904637912808</v>
      </c>
      <c r="BE112" s="347">
        <f t="shared" si="624"/>
        <v>0.51030384357327707</v>
      </c>
      <c r="BF112" s="340">
        <f>+BF110/(BF$59+BF$60)</f>
        <v>0.14193453789297591</v>
      </c>
      <c r="BG112" s="347">
        <f t="shared" ref="BG112:BI112" si="625">+BG110/(BG$59+BG$60)</f>
        <v>0.53083862770012702</v>
      </c>
      <c r="BH112" s="347">
        <f t="shared" si="625"/>
        <v>0.67826815282520458</v>
      </c>
      <c r="BI112" s="347">
        <f t="shared" si="625"/>
        <v>0.63000745825274629</v>
      </c>
      <c r="BJ112" s="347">
        <f t="shared" ref="BJ112:BM112" si="626">+BJ110/(BJ$59+BJ$60)</f>
        <v>0.51420457935115915</v>
      </c>
      <c r="BK112" s="340">
        <f>+BK110/(BK$59+BK$60)</f>
        <v>0.13500280368269205</v>
      </c>
      <c r="BL112" s="347">
        <f t="shared" si="626"/>
        <v>0.59386270479191539</v>
      </c>
      <c r="BM112" s="347">
        <f t="shared" si="626"/>
        <v>0.43601947259703078</v>
      </c>
      <c r="BN112" s="347">
        <f t="shared" ref="BN112:BO112" si="627">+BN110/(BN$59+BN$60)</f>
        <v>0.45484036196004779</v>
      </c>
      <c r="BO112" s="347">
        <f t="shared" si="627"/>
        <v>0.51935338005878362</v>
      </c>
      <c r="BP112" s="340">
        <f>+BP110/(BP$59+BP$60)</f>
        <v>0.13498893750055091</v>
      </c>
      <c r="BQ112" s="347">
        <f t="shared" ref="BQ112:BT112" si="628">+BQ110/(BQ$59+BQ$60)</f>
        <v>0.59673672815840517</v>
      </c>
      <c r="BR112" s="347">
        <f t="shared" si="628"/>
        <v>0.56154091731403644</v>
      </c>
      <c r="BS112" s="347">
        <f t="shared" si="628"/>
        <v>0.56918333500294971</v>
      </c>
      <c r="BT112" s="347">
        <f t="shared" si="628"/>
        <v>0.60631601071935259</v>
      </c>
      <c r="BU112" s="340">
        <f>+BU110/(BU$59+BU$60)</f>
        <v>0.15692642458860329</v>
      </c>
      <c r="BV112" s="314">
        <v>0.6</v>
      </c>
      <c r="BW112" s="314">
        <v>0.55000000000000004</v>
      </c>
      <c r="BX112" s="314">
        <v>0.55000000000000004</v>
      </c>
      <c r="BY112" s="314">
        <v>0.6</v>
      </c>
      <c r="BZ112" s="340">
        <f>+BZ110/(BZ$59+BZ$60)</f>
        <v>0.15921911648649453</v>
      </c>
      <c r="CA112" s="314">
        <v>0.65</v>
      </c>
      <c r="CB112" s="314">
        <v>0.5</v>
      </c>
      <c r="CC112" s="314">
        <v>0.55000000000000004</v>
      </c>
      <c r="CD112" s="314">
        <v>0.65</v>
      </c>
      <c r="CE112" s="340">
        <f>+CE110/(CE$59+CE$60)</f>
        <v>0.16430167946133242</v>
      </c>
    </row>
    <row r="113" spans="2:83" ht="12.75">
      <c r="B113" s="273" t="s">
        <v>128</v>
      </c>
      <c r="C113" s="166"/>
      <c r="D113" s="345"/>
      <c r="E113" s="345"/>
      <c r="F113" s="345"/>
      <c r="G113" s="345"/>
      <c r="H113" s="345"/>
      <c r="I113" s="345"/>
      <c r="J113" s="345"/>
      <c r="K113" s="345"/>
      <c r="L113" s="348">
        <f>+L110/G110-1</f>
        <v>0.15814430347302322</v>
      </c>
      <c r="M113" s="348">
        <f>+M110/H110-1</f>
        <v>0.15814430347302322</v>
      </c>
      <c r="N113" s="348"/>
      <c r="O113" s="348"/>
      <c r="P113" s="348"/>
      <c r="Q113" s="348">
        <f>+Q110/L110-1</f>
        <v>0.1456235476374903</v>
      </c>
      <c r="R113" s="348">
        <f>+R110/M110-1</f>
        <v>0.1456235476374903</v>
      </c>
      <c r="S113" s="348">
        <f t="shared" ref="S113" si="629">+S110/N110-1</f>
        <v>0.24905258171482703</v>
      </c>
      <c r="T113" s="348">
        <f t="shared" ref="T113" si="630">+T110/O110-1</f>
        <v>0.2633210156156871</v>
      </c>
      <c r="U113" s="348">
        <f t="shared" ref="U113" si="631">+U110/P110-1</f>
        <v>0.24799472585430182</v>
      </c>
      <c r="V113" s="348">
        <f t="shared" ref="V113" si="632">+V110/Q110-1</f>
        <v>0.1384139862841689</v>
      </c>
      <c r="W113" s="348">
        <f t="shared" ref="W113" si="633">+W110/R110-1</f>
        <v>0.1384139862841689</v>
      </c>
      <c r="X113" s="348">
        <f t="shared" ref="X113" si="634">+X110/S110-1</f>
        <v>9.1590025599696645E-2</v>
      </c>
      <c r="Y113" s="348">
        <f t="shared" ref="Y113" si="635">+Y110/T110-1</f>
        <v>0.59001698433666738</v>
      </c>
      <c r="Z113" s="348">
        <f t="shared" ref="Z113" si="636">+Z110/U110-1</f>
        <v>0.43722486353231216</v>
      </c>
      <c r="AA113" s="348">
        <f t="shared" ref="AA113" si="637">+AA110/V110-1</f>
        <v>0.12989988121500096</v>
      </c>
      <c r="AB113" s="348">
        <f t="shared" ref="AB113" si="638">+AB110/W110-1</f>
        <v>0.12989988121500096</v>
      </c>
      <c r="AC113" s="348">
        <f t="shared" ref="AC113" si="639">+AC110/X110-1</f>
        <v>0.15851645965430383</v>
      </c>
      <c r="AD113" s="348">
        <f t="shared" ref="AD113:AJ113" si="640">+AD110/Y110-1</f>
        <v>-0.17892113227701623</v>
      </c>
      <c r="AE113" s="348">
        <f t="shared" si="640"/>
        <v>-0.10077186963979423</v>
      </c>
      <c r="AF113" s="348">
        <f t="shared" si="640"/>
        <v>0.61027258391529626</v>
      </c>
      <c r="AG113" s="348">
        <f t="shared" si="640"/>
        <v>0.61027258391529626</v>
      </c>
      <c r="AH113" s="348">
        <f t="shared" si="640"/>
        <v>0.6629929524666367</v>
      </c>
      <c r="AI113" s="348">
        <f t="shared" si="640"/>
        <v>0.98424400115640354</v>
      </c>
      <c r="AJ113" s="348">
        <f t="shared" si="640"/>
        <v>0.58103413039035368</v>
      </c>
      <c r="AK113" s="348">
        <f t="shared" ref="AK113" si="641">+AK110/AF110-1</f>
        <v>0.17188957284088779</v>
      </c>
      <c r="AL113" s="348">
        <f t="shared" ref="AL113:BH113" si="642">+AL110/AG110-1</f>
        <v>0.17188957284088779</v>
      </c>
      <c r="AM113" s="348">
        <f t="shared" si="642"/>
        <v>0.44344258599702457</v>
      </c>
      <c r="AN113" s="348">
        <f t="shared" si="642"/>
        <v>-0.11433670867633128</v>
      </c>
      <c r="AO113" s="348">
        <f t="shared" si="642"/>
        <v>0.10285246466735609</v>
      </c>
      <c r="AP113" s="348">
        <f t="shared" si="642"/>
        <v>-9.3354556307202574E-2</v>
      </c>
      <c r="AQ113" s="348">
        <f t="shared" si="642"/>
        <v>-9.3354556307202574E-2</v>
      </c>
      <c r="AR113" s="348">
        <f t="shared" si="642"/>
        <v>-0.25811287753381018</v>
      </c>
      <c r="AS113" s="348">
        <f t="shared" si="642"/>
        <v>2.035780382479957E-2</v>
      </c>
      <c r="AT113" s="348">
        <f t="shared" si="642"/>
        <v>-3.215471771830436E-2</v>
      </c>
      <c r="AU113" s="348">
        <f t="shared" si="642"/>
        <v>0.3093837780898876</v>
      </c>
      <c r="AV113" s="306">
        <f t="shared" ref="AV113" si="643">+AV110/AQ110-1</f>
        <v>0.3093837780898876</v>
      </c>
      <c r="AW113" s="348">
        <f t="shared" si="642"/>
        <v>0.17189407653770039</v>
      </c>
      <c r="AX113" s="348">
        <f t="shared" si="642"/>
        <v>0.23679967754937525</v>
      </c>
      <c r="AY113" s="348">
        <f t="shared" si="642"/>
        <v>0.36759244308089789</v>
      </c>
      <c r="AZ113" s="348">
        <f t="shared" si="642"/>
        <v>8.9531726611470575E-2</v>
      </c>
      <c r="BA113" s="306">
        <f t="shared" ref="BA113" si="644">+BA110/AV110-1</f>
        <v>8.9531726611470575E-2</v>
      </c>
      <c r="BB113" s="348">
        <f t="shared" si="642"/>
        <v>0.33219571777554235</v>
      </c>
      <c r="BC113" s="348">
        <f t="shared" si="642"/>
        <v>0.23796643311064036</v>
      </c>
      <c r="BD113" s="348">
        <f t="shared" si="642"/>
        <v>0.26382903359112109</v>
      </c>
      <c r="BE113" s="348">
        <f t="shared" si="642"/>
        <v>0.3103618016244154</v>
      </c>
      <c r="BF113" s="306">
        <f t="shared" ref="BF113" si="645">+BF110/BA110-1</f>
        <v>0.3103618016244154</v>
      </c>
      <c r="BG113" s="348">
        <f t="shared" si="642"/>
        <v>0.12658091308685915</v>
      </c>
      <c r="BH113" s="348">
        <f t="shared" si="642"/>
        <v>0.38565825150709454</v>
      </c>
      <c r="BI113" s="306">
        <f t="shared" ref="BI113:BJ113" si="646">+BI110/BD110-1</f>
        <v>0.16400411061285491</v>
      </c>
      <c r="BJ113" s="306">
        <f t="shared" si="646"/>
        <v>1.1833208114199856E-2</v>
      </c>
      <c r="BK113" s="306">
        <f t="shared" ref="BK113" si="647">+BK110/BF110-1</f>
        <v>1.1833208114199856E-2</v>
      </c>
      <c r="BL113" s="306">
        <f t="shared" ref="BL113" si="648">+BL110/BG110-1</f>
        <v>0.15484596787706151</v>
      </c>
      <c r="BM113" s="306">
        <f t="shared" ref="BM113:BO113" si="649">+BM110/BH110-1</f>
        <v>-0.31426563064004409</v>
      </c>
      <c r="BN113" s="306">
        <f t="shared" si="649"/>
        <v>-0.19820217504715276</v>
      </c>
      <c r="BO113" s="306">
        <f t="shared" si="649"/>
        <v>6.6038611472062358E-2</v>
      </c>
      <c r="BP113" s="306">
        <f t="shared" ref="BP113:BS113" si="650">+BP110/BK110-1</f>
        <v>6.6038611472062358E-2</v>
      </c>
      <c r="BQ113" s="306">
        <f t="shared" si="650"/>
        <v>9.68992248062015E-2</v>
      </c>
      <c r="BR113" s="306">
        <f t="shared" si="650"/>
        <v>0.46191993350879623</v>
      </c>
      <c r="BS113" s="306">
        <f t="shared" si="650"/>
        <v>0.27967967967967966</v>
      </c>
      <c r="BT113" s="306">
        <f t="shared" ref="BT113" si="651">+BT110/BO110-1</f>
        <v>0.25580079230333896</v>
      </c>
      <c r="BU113" s="306">
        <f t="shared" ref="BU113" si="652">+BU110/BP110-1</f>
        <v>0.25580079230333896</v>
      </c>
      <c r="BV113" s="306">
        <f t="shared" ref="BV113" si="653">+BV110/BQ110-1</f>
        <v>0.11616548893633905</v>
      </c>
      <c r="BW113" s="306">
        <f t="shared" ref="BW113" si="654">+BW110/BR110-1</f>
        <v>7.3374109971952706E-2</v>
      </c>
      <c r="BX113" s="306">
        <f t="shared" ref="BX113" si="655">+BX110/BS110-1</f>
        <v>0.14189780005866726</v>
      </c>
      <c r="BY113" s="306">
        <f t="shared" ref="BY113" si="656">+BY110/BT110-1</f>
        <v>0.15551215301244481</v>
      </c>
      <c r="BZ113" s="306">
        <f t="shared" ref="BZ113" si="657">+BZ110/BU110-1</f>
        <v>0.15551215301244481</v>
      </c>
      <c r="CA113" s="306">
        <f t="shared" ref="CA113" si="658">+CA110/BV110-1</f>
        <v>0.19691591104937678</v>
      </c>
      <c r="CB113" s="306">
        <f t="shared" ref="CB113" si="659">+CB110/BW110-1</f>
        <v>-3.536128951261075E-2</v>
      </c>
      <c r="CC113" s="306">
        <f t="shared" ref="CC113" si="660">+CC110/BX110-1</f>
        <v>3.5337607176425756E-2</v>
      </c>
      <c r="CD113" s="306">
        <f t="shared" ref="CD113" si="661">+CD110/BY110-1</f>
        <v>8.1702278884743018E-2</v>
      </c>
      <c r="CE113" s="306">
        <f t="shared" ref="CE113" si="662">+CE110/BZ110-1</f>
        <v>8.1702278884743018E-2</v>
      </c>
    </row>
    <row r="114" spans="2:83" ht="12.75">
      <c r="B114" s="273" t="s">
        <v>129</v>
      </c>
      <c r="C114" s="166"/>
      <c r="D114" s="345"/>
      <c r="E114" s="345"/>
      <c r="F114" s="345"/>
      <c r="G114" s="345"/>
      <c r="H114" s="345"/>
      <c r="I114" s="345"/>
      <c r="J114" s="345"/>
      <c r="K114" s="345"/>
      <c r="L114" s="345"/>
      <c r="M114" s="345"/>
      <c r="N114" s="352">
        <f>+N110/L110-1</f>
        <v>-6.5619121389841717E-2</v>
      </c>
      <c r="O114" s="352">
        <f>+O110/N110-1</f>
        <v>-6.5135007105636689E-3</v>
      </c>
      <c r="P114" s="352">
        <f t="shared" ref="P114:Q114" si="663">+P110/O110-1</f>
        <v>8.4873048039098897E-2</v>
      </c>
      <c r="Q114" s="352">
        <f t="shared" si="663"/>
        <v>0.13756730029667064</v>
      </c>
      <c r="R114" s="345"/>
      <c r="S114" s="352">
        <f>+S110/Q110-1</f>
        <v>1.8738529894716471E-2</v>
      </c>
      <c r="T114" s="352">
        <f>+T110/S110-1</f>
        <v>4.8354982459466456E-3</v>
      </c>
      <c r="U114" s="352">
        <f t="shared" ref="U114:V114" si="664">+U110/T110-1</f>
        <v>7.1711643706359629E-2</v>
      </c>
      <c r="V114" s="352">
        <f t="shared" si="664"/>
        <v>3.7682690614544878E-2</v>
      </c>
      <c r="W114" s="345"/>
      <c r="X114" s="352">
        <f>+X110/V110-1</f>
        <v>-2.3163074834549491E-2</v>
      </c>
      <c r="Y114" s="352">
        <f>+Y110/X110-1</f>
        <v>0.4636497871970815</v>
      </c>
      <c r="Z114" s="352">
        <f t="shared" ref="Z114:AA114" si="665">+Z110/Y110-1</f>
        <v>-3.1274108361521447E-2</v>
      </c>
      <c r="AA114" s="352">
        <f t="shared" si="665"/>
        <v>-0.18420730213183056</v>
      </c>
      <c r="AB114" s="345"/>
      <c r="AC114" s="352">
        <f>+AC110/AA110-1</f>
        <v>1.5769317413831807E-3</v>
      </c>
      <c r="AD114" s="352">
        <f>+AD110/AC110-1</f>
        <v>3.7336932073774198E-2</v>
      </c>
      <c r="AE114" s="352">
        <f>+AE110/AD110-1</f>
        <v>6.0928013876843101E-2</v>
      </c>
      <c r="AF114" s="352">
        <f>+AF110/AE110-1</f>
        <v>0.46086245657061098</v>
      </c>
      <c r="AG114" s="345"/>
      <c r="AH114" s="352">
        <f>+AH110/AF110-1</f>
        <v>3.4368587950009299E-2</v>
      </c>
      <c r="AI114" s="352">
        <f>+AI110/AH110-1</f>
        <v>0.2377259816960462</v>
      </c>
      <c r="AJ114" s="352">
        <f>+AJ110/AI110-1</f>
        <v>-0.15465870182851316</v>
      </c>
      <c r="AK114" s="352">
        <f>+AK110/AJ110-1</f>
        <v>8.2816270251637292E-2</v>
      </c>
      <c r="AL114" s="345"/>
      <c r="AM114" s="352">
        <f>+AM110/AK110-1</f>
        <v>0.2740549144448865</v>
      </c>
      <c r="AN114" s="352">
        <f>+AN110/AM110-1</f>
        <v>-0.240559702657963</v>
      </c>
      <c r="AO114" s="352">
        <f>+AO110/AN110-1</f>
        <v>5.2642401809582573E-2</v>
      </c>
      <c r="AP114" s="352">
        <f>+AP110/AO110-1</f>
        <v>-0.10982613791756202</v>
      </c>
      <c r="AQ114" s="345"/>
      <c r="AR114" s="352">
        <f>+AR110/AP110-1</f>
        <v>4.2529845505618002E-2</v>
      </c>
      <c r="AS114" s="352">
        <f>+AS110/AR110-1</f>
        <v>4.4499642150465313E-2</v>
      </c>
      <c r="AT114" s="352">
        <f>+AT110/AS110-1</f>
        <v>-1.5316404675533857E-3</v>
      </c>
      <c r="AU114" s="352">
        <f>+AU110/AT110-1</f>
        <v>0.20430324559987079</v>
      </c>
      <c r="AV114" s="166"/>
      <c r="AW114" s="352">
        <f>+AW110/AU110-1</f>
        <v>-6.6939295411121869E-2</v>
      </c>
      <c r="AX114" s="353">
        <f>+AX110/AW110-1</f>
        <v>0.10234947549935325</v>
      </c>
      <c r="AY114" s="353">
        <f>+AY110/AX110-1</f>
        <v>0.10405735701482799</v>
      </c>
      <c r="AZ114" s="353">
        <f>+AZ110/AY110-1</f>
        <v>-4.0557293818997531E-2</v>
      </c>
      <c r="BA114" s="166"/>
      <c r="BB114" s="352">
        <f>+BB110/AZ110-1</f>
        <v>0.14087496923455567</v>
      </c>
      <c r="BC114" s="353">
        <f>+BC110/BB110-1</f>
        <v>2.4377747215705403E-2</v>
      </c>
      <c r="BD114" s="353">
        <f>+BD110/BC110-1</f>
        <v>0.12712243662305522</v>
      </c>
      <c r="BE114" s="353">
        <f>+BE110/BD110-1</f>
        <v>-5.2316890881913825E-3</v>
      </c>
      <c r="BF114" s="166"/>
      <c r="BG114" s="352">
        <f>+BG110/BE110-1</f>
        <v>-1.9135048835462021E-2</v>
      </c>
      <c r="BH114" s="353">
        <f>+BH110/BG110-1</f>
        <v>0.25995164803600068</v>
      </c>
      <c r="BI114" s="353">
        <f t="shared" ref="BI114:BJ114" si="666">+BI110/BH110-1</f>
        <v>-5.317552292113914E-2</v>
      </c>
      <c r="BJ114" s="353">
        <f t="shared" si="666"/>
        <v>-0.13527830169749988</v>
      </c>
      <c r="BK114" s="166"/>
      <c r="BL114" s="353">
        <f>+BL110/BJ110-1</f>
        <v>0.11950064971227037</v>
      </c>
      <c r="BM114" s="353">
        <f>+BM110/BL110-1</f>
        <v>-0.25185507606848234</v>
      </c>
      <c r="BN114" s="353">
        <f>+BN110/BM110-1</f>
        <v>0.10707854273445072</v>
      </c>
      <c r="BO114" s="353">
        <f>+BO110/BN110-1</f>
        <v>0.14969969969969976</v>
      </c>
      <c r="BP114" s="166"/>
      <c r="BQ114" s="353">
        <f>+BQ110/BO110-1</f>
        <v>0.15190892864916639</v>
      </c>
      <c r="BR114" s="353">
        <f>+BR110/BQ110-1</f>
        <v>-2.8911018310311398E-3</v>
      </c>
      <c r="BS114" s="353">
        <f>+BS110/BR110-1</f>
        <v>-3.0927835051546393E-2</v>
      </c>
      <c r="BT114" s="353">
        <f t="shared" ref="BT114" si="667">+BT110/BS110-1</f>
        <v>0.12824624530663331</v>
      </c>
      <c r="BU114" s="166"/>
      <c r="BV114" s="353">
        <f>+BV110/BT110-1</f>
        <v>2.3825594342566037E-2</v>
      </c>
      <c r="BW114" s="353">
        <f>+BW110/BV110-1</f>
        <v>-4.111810773046165E-2</v>
      </c>
      <c r="BX114" s="353">
        <f t="shared" ref="BX114" si="668">+BX110/BW110-1</f>
        <v>3.0937268723245204E-2</v>
      </c>
      <c r="BY114" s="353">
        <f t="shared" ref="BY114" si="669">+BY110/BX110-1</f>
        <v>0.14169783668511715</v>
      </c>
      <c r="BZ114" s="166"/>
      <c r="CA114" s="353">
        <f>+CA110/BY110-1</f>
        <v>6.0510822680204246E-2</v>
      </c>
      <c r="CB114" s="353">
        <f>+CB110/CA110-1</f>
        <v>-0.22720169100464327</v>
      </c>
      <c r="CC114" s="353">
        <f t="shared" ref="CC114" si="670">+CC110/CB110-1</f>
        <v>0.10649522286912028</v>
      </c>
      <c r="CD114" s="353">
        <f t="shared" ref="CD114" si="671">+CD110/CC110-1</f>
        <v>0.19282555098921206</v>
      </c>
      <c r="CE114" s="166"/>
    </row>
    <row r="115" spans="2:83" ht="12.75">
      <c r="B115" s="166"/>
      <c r="C115" s="315"/>
      <c r="D115" s="346"/>
      <c r="E115" s="346"/>
      <c r="F115" s="346"/>
      <c r="G115" s="346"/>
      <c r="H115" s="346"/>
      <c r="I115" s="346"/>
      <c r="J115" s="346"/>
      <c r="K115" s="346"/>
      <c r="L115" s="346"/>
      <c r="M115" s="346"/>
      <c r="N115" s="346"/>
      <c r="O115" s="346"/>
      <c r="P115" s="346"/>
      <c r="Q115" s="346"/>
      <c r="R115" s="346"/>
      <c r="S115" s="346"/>
      <c r="T115" s="346"/>
      <c r="U115" s="346"/>
      <c r="V115" s="346"/>
      <c r="W115" s="346"/>
      <c r="X115" s="346"/>
      <c r="Y115" s="346"/>
      <c r="Z115" s="346"/>
      <c r="AA115" s="346"/>
      <c r="AB115" s="346"/>
      <c r="AC115" s="346"/>
      <c r="AD115" s="346"/>
      <c r="AE115" s="346"/>
      <c r="AF115" s="346"/>
      <c r="AG115" s="346"/>
      <c r="AH115" s="346"/>
      <c r="AI115" s="346"/>
      <c r="AJ115" s="346"/>
      <c r="AK115" s="346"/>
      <c r="AL115" s="346"/>
      <c r="AM115" s="346"/>
      <c r="AN115" s="346"/>
      <c r="AO115" s="346"/>
      <c r="AP115" s="346"/>
      <c r="AQ115" s="346"/>
      <c r="AR115" s="346"/>
      <c r="AS115" s="346"/>
      <c r="AT115" s="346"/>
      <c r="AU115" s="315"/>
      <c r="AV115" s="315"/>
      <c r="AW115" s="346"/>
      <c r="AX115" s="315"/>
      <c r="AY115" s="315"/>
      <c r="AZ115" s="315"/>
      <c r="BA115" s="315"/>
      <c r="BB115" s="346"/>
      <c r="BC115" s="315"/>
      <c r="BD115" s="315"/>
      <c r="BE115" s="315"/>
      <c r="BF115" s="315"/>
      <c r="BG115" s="346"/>
      <c r="BH115" s="315"/>
      <c r="BI115" s="315"/>
      <c r="BJ115" s="315"/>
      <c r="BK115" s="315"/>
      <c r="BL115" s="315"/>
      <c r="BM115" s="315"/>
      <c r="BN115" s="315"/>
      <c r="BO115" s="315"/>
      <c r="BP115" s="315"/>
      <c r="BQ115" s="315"/>
      <c r="BR115" s="315"/>
      <c r="BS115" s="315"/>
      <c r="BT115" s="315"/>
      <c r="BU115" s="315"/>
      <c r="BV115" s="315"/>
      <c r="BW115" s="315"/>
      <c r="BX115" s="315"/>
      <c r="BY115" s="315"/>
      <c r="BZ115" s="315"/>
      <c r="CA115" s="315"/>
      <c r="CB115" s="315"/>
      <c r="CC115" s="315"/>
      <c r="CD115" s="315"/>
      <c r="CE115" s="315"/>
    </row>
    <row r="116" spans="2:83" ht="12.75">
      <c r="B116" s="166" t="s">
        <v>261</v>
      </c>
      <c r="C116" s="315"/>
      <c r="D116" s="351"/>
      <c r="E116" s="351"/>
      <c r="F116" s="351"/>
      <c r="G116" s="351">
        <f>+G29</f>
        <v>56497</v>
      </c>
      <c r="H116" s="351">
        <f>+H29</f>
        <v>56497</v>
      </c>
      <c r="I116" s="351"/>
      <c r="J116" s="351"/>
      <c r="K116" s="351"/>
      <c r="L116" s="351">
        <f t="shared" ref="L116:AQ116" si="672">+L29</f>
        <v>67505</v>
      </c>
      <c r="M116" s="351">
        <f t="shared" si="672"/>
        <v>67505</v>
      </c>
      <c r="N116" s="351">
        <f t="shared" si="672"/>
        <v>71410</v>
      </c>
      <c r="O116" s="351">
        <f t="shared" si="672"/>
        <v>71853</v>
      </c>
      <c r="P116" s="351">
        <f t="shared" si="672"/>
        <v>74337</v>
      </c>
      <c r="Q116" s="351">
        <f t="shared" si="672"/>
        <v>81147</v>
      </c>
      <c r="R116" s="351">
        <f t="shared" si="672"/>
        <v>81147</v>
      </c>
      <c r="S116" s="351">
        <f t="shared" si="672"/>
        <v>87929</v>
      </c>
      <c r="T116" s="351">
        <f t="shared" si="672"/>
        <v>87411</v>
      </c>
      <c r="U116" s="351">
        <f t="shared" si="672"/>
        <v>91939</v>
      </c>
      <c r="V116" s="351">
        <f t="shared" si="672"/>
        <v>98025</v>
      </c>
      <c r="W116" s="351">
        <f t="shared" si="672"/>
        <v>98025</v>
      </c>
      <c r="X116" s="351">
        <f t="shared" si="672"/>
        <v>101557</v>
      </c>
      <c r="Y116" s="351">
        <f t="shared" si="672"/>
        <v>103753</v>
      </c>
      <c r="Z116" s="351">
        <f t="shared" si="672"/>
        <v>109026</v>
      </c>
      <c r="AA116" s="351">
        <f t="shared" si="672"/>
        <v>114964</v>
      </c>
      <c r="AB116" s="351">
        <f t="shared" si="672"/>
        <v>114964</v>
      </c>
      <c r="AC116" s="351">
        <f t="shared" si="672"/>
        <v>120044</v>
      </c>
      <c r="AD116" s="351">
        <f t="shared" si="672"/>
        <v>124738</v>
      </c>
      <c r="AE116" s="351">
        <f t="shared" si="672"/>
        <v>132167</v>
      </c>
      <c r="AF116" s="351">
        <f t="shared" si="672"/>
        <v>143186</v>
      </c>
      <c r="AG116" s="351">
        <f t="shared" si="672"/>
        <v>143186</v>
      </c>
      <c r="AH116" s="351">
        <f t="shared" si="672"/>
        <v>147656</v>
      </c>
      <c r="AI116" s="351">
        <f t="shared" si="672"/>
        <v>151419</v>
      </c>
      <c r="AJ116" s="351">
        <f t="shared" si="672"/>
        <v>155115</v>
      </c>
      <c r="AK116" s="351">
        <f t="shared" si="672"/>
        <v>164624</v>
      </c>
      <c r="AL116" s="351">
        <f t="shared" si="672"/>
        <v>164624</v>
      </c>
      <c r="AM116" s="351">
        <f t="shared" si="672"/>
        <v>174452</v>
      </c>
      <c r="AN116" s="351">
        <f t="shared" si="672"/>
        <v>176609</v>
      </c>
      <c r="AO116" s="351">
        <f t="shared" si="672"/>
        <v>180304</v>
      </c>
      <c r="AP116" s="351">
        <f t="shared" si="672"/>
        <v>192172</v>
      </c>
      <c r="AQ116" s="351">
        <f t="shared" si="672"/>
        <v>192172</v>
      </c>
      <c r="AR116" s="351">
        <f t="shared" ref="AR116:BK116" si="673">+AR29</f>
        <v>201861</v>
      </c>
      <c r="AS116" s="351">
        <f t="shared" si="673"/>
        <v>199732</v>
      </c>
      <c r="AT116" s="351">
        <f t="shared" si="673"/>
        <v>200283</v>
      </c>
      <c r="AU116" s="351">
        <f t="shared" si="673"/>
        <v>213494</v>
      </c>
      <c r="AV116" s="354">
        <f t="shared" si="673"/>
        <v>213494</v>
      </c>
      <c r="AW116" s="351">
        <f t="shared" si="673"/>
        <v>218898</v>
      </c>
      <c r="AX116" s="351">
        <f t="shared" si="673"/>
        <v>228180</v>
      </c>
      <c r="AY116" s="351">
        <f t="shared" ref="AY116:AZ116" si="674">+AY29</f>
        <v>237539</v>
      </c>
      <c r="AZ116" s="351">
        <f t="shared" si="674"/>
        <v>257872</v>
      </c>
      <c r="BA116" s="354">
        <f t="shared" si="673"/>
        <v>257872</v>
      </c>
      <c r="BB116" s="351">
        <f t="shared" ref="BB116:BC116" si="675">+BB29</f>
        <v>266934</v>
      </c>
      <c r="BC116" s="351">
        <f t="shared" si="675"/>
        <v>275725</v>
      </c>
      <c r="BD116" s="351">
        <f t="shared" ref="BD116:BE116" si="676">+BD29</f>
        <v>278947</v>
      </c>
      <c r="BE116" s="351">
        <f t="shared" si="676"/>
        <v>293728</v>
      </c>
      <c r="BF116" s="354">
        <f t="shared" si="673"/>
        <v>293728</v>
      </c>
      <c r="BG116" s="351">
        <f t="shared" si="673"/>
        <v>296516</v>
      </c>
      <c r="BH116" s="351">
        <f t="shared" si="673"/>
        <v>302446</v>
      </c>
      <c r="BI116" s="354">
        <f t="shared" si="673"/>
        <v>307179</v>
      </c>
      <c r="BJ116" s="354">
        <f t="shared" ref="BJ116" si="677">+BJ29</f>
        <v>333267</v>
      </c>
      <c r="BK116" s="354">
        <f t="shared" si="673"/>
        <v>333267</v>
      </c>
      <c r="BL116" s="354">
        <f t="shared" ref="BL116:BP116" si="678">+BL29</f>
        <v>332128</v>
      </c>
      <c r="BM116" s="354">
        <f t="shared" si="678"/>
        <v>324334</v>
      </c>
      <c r="BN116" s="354">
        <f t="shared" ref="BN116:BO116" si="679">+BN29</f>
        <v>337821</v>
      </c>
      <c r="BO116" s="354">
        <f t="shared" si="679"/>
        <v>371457</v>
      </c>
      <c r="BP116" s="354">
        <f t="shared" si="678"/>
        <v>371457</v>
      </c>
      <c r="BQ116" s="354">
        <f t="shared" ref="BQ116:BS116" si="680">+BQ29</f>
        <v>366824</v>
      </c>
      <c r="BR116" s="354">
        <f t="shared" si="680"/>
        <v>354971</v>
      </c>
      <c r="BS116" s="354">
        <f t="shared" si="680"/>
        <v>371476</v>
      </c>
      <c r="BT116" s="354">
        <f t="shared" ref="BT116:BU116" si="681">+BT29</f>
        <v>401127</v>
      </c>
      <c r="BU116" s="354">
        <f t="shared" si="681"/>
        <v>401127</v>
      </c>
      <c r="BV116" s="354">
        <f t="shared" ref="BV116:BZ116" si="682">+BV29</f>
        <v>396169.92000000004</v>
      </c>
      <c r="BW116" s="354">
        <f t="shared" si="682"/>
        <v>383368.68000000005</v>
      </c>
      <c r="BX116" s="354">
        <f t="shared" si="682"/>
        <v>401194.08</v>
      </c>
      <c r="BY116" s="354">
        <f t="shared" si="682"/>
        <v>431211.52499999997</v>
      </c>
      <c r="BZ116" s="354">
        <f t="shared" si="682"/>
        <v>431211.52499999997</v>
      </c>
      <c r="CA116" s="354">
        <f t="shared" ref="CA116:CE116" si="683">+CA29</f>
        <v>423901.81440000009</v>
      </c>
      <c r="CB116" s="354">
        <f t="shared" si="683"/>
        <v>410204.48760000005</v>
      </c>
      <c r="CC116" s="354">
        <f t="shared" si="683"/>
        <v>429277.66560000007</v>
      </c>
      <c r="CD116" s="354">
        <f t="shared" si="683"/>
        <v>461396.33175000001</v>
      </c>
      <c r="CE116" s="354">
        <f t="shared" si="683"/>
        <v>461396.33175000001</v>
      </c>
    </row>
    <row r="117" spans="2:83" ht="12.75" hidden="1" customHeight="1" outlineLevel="1">
      <c r="B117" s="166"/>
      <c r="C117" s="182"/>
      <c r="D117" s="344"/>
      <c r="E117" s="344"/>
      <c r="F117" s="344"/>
      <c r="G117" s="344"/>
      <c r="H117" s="344"/>
      <c r="I117" s="344"/>
      <c r="J117" s="344"/>
      <c r="K117" s="344"/>
      <c r="L117" s="344"/>
      <c r="M117" s="344"/>
      <c r="N117" s="344"/>
      <c r="O117" s="344"/>
      <c r="P117" s="344"/>
      <c r="Q117" s="344"/>
      <c r="R117" s="344"/>
      <c r="S117" s="344"/>
      <c r="T117" s="344"/>
      <c r="U117" s="344"/>
      <c r="V117" s="344"/>
      <c r="W117" s="344"/>
      <c r="X117" s="344"/>
      <c r="Y117" s="344"/>
      <c r="Z117" s="344"/>
      <c r="AA117" s="344"/>
      <c r="AB117" s="344"/>
      <c r="AC117" s="344"/>
      <c r="AD117" s="344"/>
      <c r="AE117" s="344"/>
      <c r="AF117" s="344"/>
      <c r="AG117" s="344"/>
      <c r="AH117" s="344"/>
      <c r="AI117" s="344"/>
      <c r="AJ117" s="344"/>
      <c r="AK117" s="344"/>
      <c r="AL117" s="344"/>
      <c r="AM117" s="344"/>
      <c r="AN117" s="344"/>
      <c r="AO117" s="344"/>
      <c r="AP117" s="344"/>
      <c r="AQ117" s="344"/>
      <c r="AR117" s="344"/>
      <c r="AS117" s="344"/>
      <c r="AT117" s="344"/>
      <c r="AU117" s="344"/>
      <c r="AV117" s="179" t="e">
        <f ca="1">_xll.FDS(+IS!$B$1,"FE_ESTIMATE(DEFREVENUE_ST,MEAN,ANNUAL,"&amp;IS!AV$74&amp;",NOW,,,'')")*1000</f>
        <v>#NAME?</v>
      </c>
      <c r="AW117" s="344"/>
      <c r="AX117" s="344"/>
      <c r="AY117" s="344"/>
      <c r="AZ117" s="344"/>
      <c r="BA117" s="179" t="e">
        <f ca="1">_xll.FDS(+IS!$B$1,"FE_ESTIMATE(DEFREVENUE_ST,MEAN,ANNUAL,"&amp;IS!BA$74&amp;",NOW,,,'')")*1000</f>
        <v>#NAME?</v>
      </c>
      <c r="BB117" s="344"/>
      <c r="BC117" s="344"/>
      <c r="BD117" s="344"/>
      <c r="BE117" s="344"/>
      <c r="BF117" s="179" t="e">
        <f ca="1">_xll.FDS(+IS!$B$1,"FE_ESTIMATE(DEFREVENUE_ST,MEAN,ANNUAL,"&amp;IS!BF$74&amp;",NOW,,,'')")*1000</f>
        <v>#NAME?</v>
      </c>
      <c r="BG117" s="344"/>
      <c r="BH117" s="344"/>
      <c r="BI117" s="179"/>
      <c r="BJ117" s="179"/>
      <c r="BK117" s="179" t="e">
        <f ca="1">_xll.FDS(+IS!$B$1,"FE_ESTIMATE(DEFREVENUE_ST,MEAN,ANNUAL,"&amp;IS!BK$74&amp;",NOW,,,'')")*1000</f>
        <v>#NAME?</v>
      </c>
      <c r="BL117" s="179" t="e">
        <f ca="1">_xll.FDS(+IS!$B$1,"FE_ESTIMATE(DEFREVENUE_ST,MEAN,QUARTERLY,"&amp;IS!BL$74&amp;",NOW,,,'')")*1000</f>
        <v>#NAME?</v>
      </c>
      <c r="BM117" s="179" t="e">
        <f ca="1">_xll.FDS(+IS!$B$1,"FE_ESTIMATE(DEFREVENUE_ST,MEAN,QUARTERLY,"&amp;IS!BM$74&amp;",NOW,,,'')")*1000</f>
        <v>#NAME?</v>
      </c>
      <c r="BN117" s="179" t="e">
        <f ca="1">_xll.FDS(+IS!$B$1,"FE_ESTIMATE(DEFREVENUE_ST,MEAN,QUARTERLY,"&amp;IS!BN$74&amp;",NOW,,,'')")*1000</f>
        <v>#NAME?</v>
      </c>
      <c r="BO117" s="179" t="e">
        <f ca="1">_xll.FDS(+IS!$B$1,"FE_ESTIMATE(DEFREVENUE_ST,MEAN,QUARTERLY,"&amp;IS!BO$74&amp;",NOW,,,'')")*1000</f>
        <v>#NAME?</v>
      </c>
      <c r="BP117" s="179" t="e">
        <f ca="1">_xll.FDS(+IS!$B$1,"FE_ESTIMATE(DEFREVENUE_ST,MEAN,ANNUAL,"&amp;IS!BP$74&amp;",NOW,,,'')")*1000</f>
        <v>#NAME?</v>
      </c>
      <c r="BQ117" s="179" t="e">
        <f ca="1">_xll.FDS(+IS!$B$1,"FE_ESTIMATE(DEFREVENUE_ST,MEAN,QUARTERLY,"&amp;IS!BQ$74&amp;",NOW,,,'')")*1000</f>
        <v>#NAME?</v>
      </c>
      <c r="BR117" s="179" t="e">
        <f ca="1">_xll.FDS(+IS!$B$1,"FE_ESTIMATE(DEFREVENUE_ST,MEAN,QUARTERLY,"&amp;IS!BR$74&amp;",NOW,,,'')")*1000</f>
        <v>#NAME?</v>
      </c>
      <c r="BS117" s="179" t="e">
        <f ca="1">_xll.FDS(+IS!$B$1,"FE_ESTIMATE(DEFREVENUE_ST,MEAN,QUARTERLY,"&amp;IS!BS$74&amp;",NOW,,,'')")*1000</f>
        <v>#NAME?</v>
      </c>
      <c r="BT117" s="179"/>
      <c r="BU117" s="179" t="e">
        <f ca="1">_xll.FDS(+IS!$B$1,"FE_ESTIMATE(DEFREVENUE_ST,MEAN,ANNUAL,"&amp;IS!BU$74&amp;",NOW,,,'')")*1000</f>
        <v>#NAME?</v>
      </c>
      <c r="BV117" s="179" t="e">
        <f ca="1">_xll.FDS(+IS!$B$1,"FE_ESTIMATE(DEFREVENUE_ST,MEAN,QUARTERLY,"&amp;IS!BV$74&amp;",NOW,,,'')")*1000</f>
        <v>#NAME?</v>
      </c>
      <c r="BW117" s="179" t="e">
        <f ca="1">_xll.FDS(+IS!$B$1,"FE_ESTIMATE(DEFREVENUE_ST,MEAN,QUARTERLY,"&amp;IS!BW$74&amp;",NOW,,,'')")*1000</f>
        <v>#NAME?</v>
      </c>
      <c r="BX117" s="179"/>
      <c r="BY117" s="179"/>
      <c r="BZ117" s="179" t="e">
        <f ca="1">_xll.FDS(+IS!$B$1,"FE_ESTIMATE(DEFREVENUE_ST,MEAN,ANNUAL,"&amp;IS!BZ$74&amp;",NOW,,,'')")*1000</f>
        <v>#NAME?</v>
      </c>
      <c r="CA117" s="179" t="e">
        <f ca="1">_xll.FDS(+IS!$B$1,"FE_ESTIMATE(DEFREVENUE_ST,MEAN,QUARTERLY,"&amp;IS!CA$74&amp;",NOW,,,'')")*1000</f>
        <v>#NAME?</v>
      </c>
      <c r="CB117" s="179" t="e">
        <f ca="1">_xll.FDS(+IS!$B$1,"FE_ESTIMATE(DEFREVENUE_ST,MEAN,QUARTERLY,"&amp;IS!CB$74&amp;",NOW,,,'')")*1000</f>
        <v>#NAME?</v>
      </c>
      <c r="CC117" s="179"/>
      <c r="CD117" s="179"/>
      <c r="CE117" s="179" t="e">
        <f ca="1">_xll.FDS(+IS!$B$1,"FE_ESTIMATE(DEFREVENUE_ST,MEAN,ANNUAL,"&amp;IS!CE$74&amp;",NOW,,,'')")*1000</f>
        <v>#NAME?</v>
      </c>
    </row>
    <row r="118" spans="2:83" ht="12.75" collapsed="1">
      <c r="B118" s="315" t="s">
        <v>262</v>
      </c>
      <c r="C118" s="304"/>
      <c r="D118" s="349"/>
      <c r="E118" s="349"/>
      <c r="F118" s="349"/>
      <c r="G118" s="349"/>
      <c r="H118" s="349"/>
      <c r="I118" s="349"/>
      <c r="J118" s="349"/>
      <c r="K118" s="349"/>
      <c r="L118" s="349"/>
      <c r="M118" s="349"/>
      <c r="N118" s="349"/>
      <c r="O118" s="349"/>
      <c r="P118" s="349"/>
      <c r="Q118" s="349"/>
      <c r="R118" s="349"/>
      <c r="S118" s="349"/>
      <c r="T118" s="349"/>
      <c r="U118" s="349"/>
      <c r="V118" s="349"/>
      <c r="W118" s="349"/>
      <c r="X118" s="349"/>
      <c r="Y118" s="349"/>
      <c r="Z118" s="349"/>
      <c r="AA118" s="349"/>
      <c r="AB118" s="349"/>
      <c r="AC118" s="349"/>
      <c r="AD118" s="349"/>
      <c r="AE118" s="349"/>
      <c r="AF118" s="349"/>
      <c r="AG118" s="349"/>
      <c r="AH118" s="349"/>
      <c r="AI118" s="349"/>
      <c r="AJ118" s="349"/>
      <c r="AK118" s="349"/>
      <c r="AL118" s="349"/>
      <c r="AM118" s="349"/>
      <c r="AN118" s="349"/>
      <c r="AO118" s="349"/>
      <c r="AP118" s="349"/>
      <c r="AQ118" s="349"/>
      <c r="AR118" s="349"/>
      <c r="AS118" s="349"/>
      <c r="AT118" s="349"/>
      <c r="AU118" s="349"/>
      <c r="AV118" s="314"/>
      <c r="AW118" s="349"/>
      <c r="AX118" s="349"/>
      <c r="AY118" s="349"/>
      <c r="AZ118" s="349"/>
      <c r="BA118" s="314"/>
      <c r="BB118" s="349"/>
      <c r="BC118" s="349"/>
      <c r="BD118" s="349"/>
      <c r="BE118" s="349"/>
      <c r="BF118" s="314"/>
      <c r="BG118" s="349"/>
      <c r="BH118" s="349"/>
      <c r="BI118" s="314"/>
      <c r="BJ118" s="314"/>
      <c r="BK118" s="314"/>
      <c r="BL118" s="314"/>
      <c r="BM118" s="314"/>
      <c r="BN118" s="314"/>
      <c r="BO118" s="314"/>
      <c r="BP118" s="314"/>
      <c r="BQ118" s="314"/>
      <c r="BR118" s="314"/>
      <c r="BS118" s="314"/>
      <c r="BT118" s="314"/>
      <c r="BU118" s="314"/>
      <c r="BV118" s="314">
        <v>0.08</v>
      </c>
      <c r="BW118" s="314">
        <v>0.08</v>
      </c>
      <c r="BX118" s="314">
        <v>0.08</v>
      </c>
      <c r="BY118" s="314">
        <v>7.4999999999999997E-2</v>
      </c>
      <c r="BZ118" s="314"/>
      <c r="CA118" s="314">
        <v>7.0000000000000007E-2</v>
      </c>
      <c r="CB118" s="314">
        <v>7.0000000000000007E-2</v>
      </c>
      <c r="CC118" s="314">
        <v>7.0000000000000007E-2</v>
      </c>
      <c r="CD118" s="314">
        <v>7.0000000000000007E-2</v>
      </c>
      <c r="CE118" s="314"/>
    </row>
    <row r="119" spans="2:83" ht="12.75">
      <c r="B119" s="273" t="s">
        <v>220</v>
      </c>
      <c r="C119" s="306"/>
      <c r="D119" s="348"/>
      <c r="E119" s="348"/>
      <c r="F119" s="348"/>
      <c r="G119" s="348"/>
      <c r="H119" s="348"/>
      <c r="I119" s="348"/>
      <c r="J119" s="348"/>
      <c r="K119" s="348"/>
      <c r="L119" s="348">
        <f>+L116/G116-1</f>
        <v>0.19484220401083241</v>
      </c>
      <c r="M119" s="348">
        <f>+M116/H116-1</f>
        <v>0.19484220401083241</v>
      </c>
      <c r="N119" s="348"/>
      <c r="O119" s="348"/>
      <c r="P119" s="348"/>
      <c r="Q119" s="348">
        <f t="shared" ref="Q119:AJ119" si="684">+Q116/L116-1</f>
        <v>0.20208873416783946</v>
      </c>
      <c r="R119" s="348">
        <f t="shared" si="684"/>
        <v>0.20208873416783946</v>
      </c>
      <c r="S119" s="348">
        <f t="shared" si="684"/>
        <v>0.23132614479764735</v>
      </c>
      <c r="T119" s="348">
        <f t="shared" si="684"/>
        <v>0.21652540603732628</v>
      </c>
      <c r="U119" s="348">
        <f t="shared" si="684"/>
        <v>0.23678652622516383</v>
      </c>
      <c r="V119" s="348">
        <f t="shared" si="684"/>
        <v>0.20799290177086038</v>
      </c>
      <c r="W119" s="348">
        <f t="shared" si="684"/>
        <v>0.20799290177086038</v>
      </c>
      <c r="X119" s="348">
        <f t="shared" si="684"/>
        <v>0.15498868405190547</v>
      </c>
      <c r="Y119" s="348">
        <f t="shared" si="684"/>
        <v>0.18695587511869216</v>
      </c>
      <c r="Z119" s="348">
        <f t="shared" si="684"/>
        <v>0.18585148848693156</v>
      </c>
      <c r="AA119" s="348">
        <f t="shared" si="684"/>
        <v>0.17280285641418014</v>
      </c>
      <c r="AB119" s="348">
        <f t="shared" si="684"/>
        <v>0.17280285641418014</v>
      </c>
      <c r="AC119" s="348">
        <f t="shared" si="684"/>
        <v>0.18203570408735992</v>
      </c>
      <c r="AD119" s="348">
        <f t="shared" si="684"/>
        <v>0.20225921178182804</v>
      </c>
      <c r="AE119" s="348">
        <f t="shared" si="684"/>
        <v>0.21225212334672472</v>
      </c>
      <c r="AF119" s="348">
        <f t="shared" si="684"/>
        <v>0.24548554330051142</v>
      </c>
      <c r="AG119" s="348">
        <f t="shared" si="684"/>
        <v>0.24548554330051142</v>
      </c>
      <c r="AH119" s="348">
        <f t="shared" si="684"/>
        <v>0.23001566092432779</v>
      </c>
      <c r="AI119" s="348">
        <f t="shared" si="684"/>
        <v>0.21389632670076475</v>
      </c>
      <c r="AJ119" s="348">
        <f t="shared" si="684"/>
        <v>0.17362881808620911</v>
      </c>
      <c r="AK119" s="348">
        <f t="shared" ref="AK119" si="685">+AK116/AF116-1</f>
        <v>0.14972134147193161</v>
      </c>
      <c r="AL119" s="348">
        <f t="shared" ref="AL119:BH119" si="686">+AL116/AG116-1</f>
        <v>0.14972134147193161</v>
      </c>
      <c r="AM119" s="348">
        <f t="shared" si="686"/>
        <v>0.18147586281627559</v>
      </c>
      <c r="AN119" s="348">
        <f t="shared" si="686"/>
        <v>0.16635957178425431</v>
      </c>
      <c r="AO119" s="348">
        <f t="shared" si="686"/>
        <v>0.16238919511330296</v>
      </c>
      <c r="AP119" s="348">
        <f t="shared" si="686"/>
        <v>0.16733890562736908</v>
      </c>
      <c r="AQ119" s="348">
        <f t="shared" si="686"/>
        <v>0.16733890562736908</v>
      </c>
      <c r="AR119" s="348">
        <f t="shared" si="686"/>
        <v>0.15711485107651391</v>
      </c>
      <c r="AS119" s="348">
        <f t="shared" si="686"/>
        <v>0.13092764241912924</v>
      </c>
      <c r="AT119" s="348">
        <f t="shared" si="686"/>
        <v>0.11080730322122645</v>
      </c>
      <c r="AU119" s="348">
        <f t="shared" si="686"/>
        <v>0.11095268821680571</v>
      </c>
      <c r="AV119" s="356">
        <f t="shared" ref="AV119" si="687">+AV116/AQ116-1</f>
        <v>0.11095268821680571</v>
      </c>
      <c r="AW119" s="348">
        <f t="shared" si="686"/>
        <v>8.4399661152971595E-2</v>
      </c>
      <c r="AX119" s="348">
        <f t="shared" si="686"/>
        <v>0.14243085734884753</v>
      </c>
      <c r="AY119" s="348">
        <f t="shared" si="686"/>
        <v>0.18601678624745976</v>
      </c>
      <c r="AZ119" s="348">
        <f t="shared" si="686"/>
        <v>0.2078653264260355</v>
      </c>
      <c r="BA119" s="356">
        <f t="shared" ref="BA119" si="688">+BA116/AV116-1</f>
        <v>0.2078653264260355</v>
      </c>
      <c r="BB119" s="348">
        <f t="shared" si="686"/>
        <v>0.21944467286133262</v>
      </c>
      <c r="BC119" s="348">
        <f t="shared" si="686"/>
        <v>0.20836620212113255</v>
      </c>
      <c r="BD119" s="348">
        <f t="shared" si="686"/>
        <v>0.17432084836595263</v>
      </c>
      <c r="BE119" s="348">
        <f t="shared" si="686"/>
        <v>0.13904572811317251</v>
      </c>
      <c r="BF119" s="356">
        <f t="shared" ref="BF119" si="689">+BF116/BA116-1</f>
        <v>0.13904572811317251</v>
      </c>
      <c r="BG119" s="348">
        <f t="shared" si="686"/>
        <v>0.11082140154495113</v>
      </c>
      <c r="BH119" s="348">
        <f t="shared" si="686"/>
        <v>9.6911778039713514E-2</v>
      </c>
      <c r="BI119" s="356">
        <f t="shared" ref="BI119:BJ119" si="690">+BI116/BD116-1</f>
        <v>0.10120919027628905</v>
      </c>
      <c r="BJ119" s="356">
        <f t="shared" si="690"/>
        <v>0.13461093256346013</v>
      </c>
      <c r="BK119" s="356">
        <f t="shared" ref="BK119" si="691">+BK116/BF116-1</f>
        <v>0.13461093256346013</v>
      </c>
      <c r="BL119" s="356">
        <f t="shared" ref="BL119" si="692">+BL116/BG116-1</f>
        <v>0.12010144477869655</v>
      </c>
      <c r="BM119" s="356">
        <f t="shared" ref="BM119:BO119" si="693">+BM116/BH116-1</f>
        <v>7.2369943725491437E-2</v>
      </c>
      <c r="BN119" s="356">
        <f t="shared" si="693"/>
        <v>9.9752912796773119E-2</v>
      </c>
      <c r="BO119" s="356">
        <f t="shared" si="693"/>
        <v>0.11459280396798954</v>
      </c>
      <c r="BP119" s="356">
        <f t="shared" ref="BP119:BS119" si="694">+BP116/BK116-1</f>
        <v>0.11459280396798954</v>
      </c>
      <c r="BQ119" s="356">
        <f t="shared" si="694"/>
        <v>0.1044657481452933</v>
      </c>
      <c r="BR119" s="356">
        <f t="shared" si="694"/>
        <v>9.4461265238920289E-2</v>
      </c>
      <c r="BS119" s="356">
        <f t="shared" si="694"/>
        <v>9.962376524845995E-2</v>
      </c>
      <c r="BT119" s="356">
        <f t="shared" ref="BT119" si="695">+BT116/BO116-1</f>
        <v>7.9874655747502299E-2</v>
      </c>
      <c r="BU119" s="356">
        <f t="shared" ref="BU119" si="696">+BU116/BP116-1</f>
        <v>7.9874655747502299E-2</v>
      </c>
      <c r="BV119" s="356">
        <f t="shared" ref="BV119" si="697">+BV116/BQ116-1</f>
        <v>8.0000000000000071E-2</v>
      </c>
      <c r="BW119" s="356">
        <f t="shared" ref="BW119" si="698">+BW116/BR116-1</f>
        <v>8.0000000000000071E-2</v>
      </c>
      <c r="BX119" s="356">
        <f t="shared" ref="BX119" si="699">+BX116/BS116-1</f>
        <v>8.0000000000000071E-2</v>
      </c>
      <c r="BY119" s="356">
        <f t="shared" ref="BY119" si="700">+BY116/BT116-1</f>
        <v>7.4999999999999956E-2</v>
      </c>
      <c r="BZ119" s="356">
        <f t="shared" ref="BZ119" si="701">+BZ116/BU116-1</f>
        <v>7.4999999999999956E-2</v>
      </c>
      <c r="CA119" s="356">
        <f t="shared" ref="CA119" si="702">+CA116/BV116-1</f>
        <v>7.0000000000000062E-2</v>
      </c>
      <c r="CB119" s="356">
        <f t="shared" ref="CB119" si="703">+CB116/BW116-1</f>
        <v>7.0000000000000062E-2</v>
      </c>
      <c r="CC119" s="356">
        <f t="shared" ref="CC119" si="704">+CC116/BX116-1</f>
        <v>7.0000000000000062E-2</v>
      </c>
      <c r="CD119" s="356">
        <f t="shared" ref="CD119" si="705">+CD116/BY116-1</f>
        <v>7.0000000000000062E-2</v>
      </c>
      <c r="CE119" s="356">
        <f t="shared" ref="CE119" si="706">+CE116/BZ116-1</f>
        <v>7.0000000000000062E-2</v>
      </c>
    </row>
    <row r="120" spans="2:83" ht="12.75">
      <c r="B120" s="273" t="s">
        <v>221</v>
      </c>
      <c r="C120" s="306"/>
      <c r="D120" s="348"/>
      <c r="E120" s="348"/>
      <c r="F120" s="348"/>
      <c r="G120" s="348">
        <f>+IS!G137</f>
        <v>0</v>
      </c>
      <c r="H120" s="348">
        <f>+IS!H137</f>
        <v>0</v>
      </c>
      <c r="I120" s="348"/>
      <c r="J120" s="348"/>
      <c r="K120" s="348"/>
      <c r="L120" s="348">
        <f>+IS!L137</f>
        <v>0.17771829500750336</v>
      </c>
      <c r="M120" s="348">
        <f>+IS!M137</f>
        <v>0.18094508860205649</v>
      </c>
      <c r="N120" s="348"/>
      <c r="O120" s="348"/>
      <c r="P120" s="348"/>
      <c r="Q120" s="348">
        <f>+IS!Q137</f>
        <v>0.25944419573676725</v>
      </c>
      <c r="R120" s="348">
        <f>+IS!R137</f>
        <v>0.23727793112391371</v>
      </c>
      <c r="S120" s="348">
        <f>+IS!S137</f>
        <v>0.23511002767163003</v>
      </c>
      <c r="T120" s="348">
        <f>+IS!T137</f>
        <v>0.23450560336821247</v>
      </c>
      <c r="U120" s="348">
        <f>+IS!U137</f>
        <v>0.23643298008617686</v>
      </c>
      <c r="V120" s="348">
        <f>+IS!V137</f>
        <v>0.21524075137396448</v>
      </c>
      <c r="W120" s="348">
        <f>+IS!W137</f>
        <v>0.22986397562491101</v>
      </c>
      <c r="X120" s="348">
        <f>+IS!X137</f>
        <v>0.23351025524764624</v>
      </c>
      <c r="Y120" s="348">
        <f>+IS!Y137</f>
        <v>0.21538731599668992</v>
      </c>
      <c r="Z120" s="348">
        <f>+IS!Z137</f>
        <v>0.20056982740351792</v>
      </c>
      <c r="AA120" s="348">
        <f>+IS!AA137</f>
        <v>0.17502531218359763</v>
      </c>
      <c r="AB120" s="348">
        <f>+IS!AB137</f>
        <v>0.20477344111416818</v>
      </c>
      <c r="AC120" s="348">
        <f>+IS!AC137</f>
        <v>0.14861183186299942</v>
      </c>
      <c r="AD120" s="348">
        <f>+IS!AD137</f>
        <v>0.14104733215037335</v>
      </c>
      <c r="AE120" s="348">
        <f>+IS!AE137</f>
        <v>0.1667679996861946</v>
      </c>
      <c r="AF120" s="348">
        <f>+IS!AF137</f>
        <v>0.20471430759803932</v>
      </c>
      <c r="AG120" s="348">
        <f>+IS!AG137</f>
        <v>0.16623973727421992</v>
      </c>
      <c r="AH120" s="348">
        <f>+IS!AH137</f>
        <v>0.22132489975715819</v>
      </c>
      <c r="AI120" s="348">
        <f>+IS!AI137</f>
        <v>0.23237857582004273</v>
      </c>
      <c r="AJ120" s="348">
        <f>+IS!AJ137</f>
        <v>0.20453857791225416</v>
      </c>
      <c r="AK120" s="348">
        <f>+IS!AK137</f>
        <v>0.17936898990701744</v>
      </c>
      <c r="AL120" s="348">
        <f>+IS!AL137</f>
        <v>0.20821130885334527</v>
      </c>
      <c r="AM120" s="348">
        <f>+IS!AM137</f>
        <v>0.16130275285921258</v>
      </c>
      <c r="AN120" s="348">
        <f>+IS!AN137</f>
        <v>0.158114829868091</v>
      </c>
      <c r="AO120" s="348">
        <f>+IS!AO137</f>
        <v>0.1536883530101314</v>
      </c>
      <c r="AP120" s="348">
        <f>+IS!AP137</f>
        <v>0.14102425876010782</v>
      </c>
      <c r="AQ120" s="348">
        <f>+IS!AQ137</f>
        <v>0.15317205052906346</v>
      </c>
      <c r="AR120" s="348">
        <f>+IS!AR137</f>
        <v>0.14493715408199837</v>
      </c>
      <c r="AS120" s="348">
        <f>+IS!AS137</f>
        <v>0.12544185280441922</v>
      </c>
      <c r="AT120" s="348">
        <f>+IS!AT137</f>
        <v>0.12577566498530324</v>
      </c>
      <c r="AU120" s="348">
        <f>+IS!AU137</f>
        <v>0.11973211754700941</v>
      </c>
      <c r="AV120" s="306">
        <f>+IS!AV137</f>
        <v>0.12859172841387156</v>
      </c>
      <c r="AW120" s="348">
        <f>+IS!AW137</f>
        <v>0.12163963692428958</v>
      </c>
      <c r="AX120" s="348">
        <f>+IS!AX137</f>
        <v>0.12239108409321164</v>
      </c>
      <c r="AY120" s="348">
        <f>+IS!AY137</f>
        <v>0.12748605873061924</v>
      </c>
      <c r="AZ120" s="348">
        <f>+IS!AZ137</f>
        <v>0.15800466239807598</v>
      </c>
      <c r="BA120" s="306">
        <f>+IS!BA137</f>
        <v>0.13282070073258145</v>
      </c>
      <c r="BB120" s="348">
        <f>+IS!BB137</f>
        <v>0.17222704535119271</v>
      </c>
      <c r="BC120" s="348">
        <f>+IS!BC137</f>
        <v>0.20251349020079834</v>
      </c>
      <c r="BD120" s="348">
        <f>+IS!BD137</f>
        <v>0.19657117807383684</v>
      </c>
      <c r="BE120" s="348">
        <f>+IS!BE137</f>
        <v>0.19192020404445254</v>
      </c>
      <c r="BF120" s="306">
        <f>+IS!BF137</f>
        <v>0.19104170517447683</v>
      </c>
      <c r="BG120" s="348">
        <f>+IS!BG137</f>
        <v>0.15220419679068953</v>
      </c>
      <c r="BH120" s="348">
        <f>+IS!BH137</f>
        <v>0.14442878233091183</v>
      </c>
      <c r="BI120" s="306">
        <f>+IS!BI137</f>
        <v>0.13089255421667545</v>
      </c>
      <c r="BJ120" s="306">
        <f>+IS!BJ137</f>
        <v>0.1048613287071356</v>
      </c>
      <c r="BK120" s="306">
        <f>+IS!BK137</f>
        <v>0.13218697100197452</v>
      </c>
      <c r="BL120" s="306">
        <f>+IS!BL137</f>
        <v>0.11571512744580392</v>
      </c>
      <c r="BM120" s="306">
        <f>+IS!BM137</f>
        <v>8.3806455844733119E-2</v>
      </c>
      <c r="BN120" s="306">
        <f>+IS!BN137</f>
        <v>8.3600946505535401E-2</v>
      </c>
      <c r="BO120" s="306">
        <f>+IS!BO137</f>
        <v>0.1011343985612505</v>
      </c>
      <c r="BP120" s="306">
        <f>+IS!BP137</f>
        <v>9.5792647955300403E-2</v>
      </c>
      <c r="BQ120" s="306">
        <f>+IS!BQ137</f>
        <v>9.6663351736908876E-2</v>
      </c>
      <c r="BR120" s="306">
        <f>+IS!BR137</f>
        <v>0.10324932081663385</v>
      </c>
      <c r="BS120" s="306">
        <f>+IS!BS137</f>
        <v>0.1040833966997472</v>
      </c>
      <c r="BT120" s="306">
        <f>+IS!BT137</f>
        <v>0.10107983491529038</v>
      </c>
      <c r="BU120" s="306">
        <f>+IS!BU137</f>
        <v>0.10131161625554874</v>
      </c>
      <c r="BV120" s="306">
        <f>+IS!BV137</f>
        <v>8.4999999999999964E-2</v>
      </c>
      <c r="BW120" s="306">
        <f>+IS!BW137</f>
        <v>8.0000000000000071E-2</v>
      </c>
      <c r="BX120" s="306">
        <f>+IS!BX137</f>
        <v>7.4999999999999956E-2</v>
      </c>
      <c r="BY120" s="306">
        <f>+IS!BY137</f>
        <v>7.0000000000000062E-2</v>
      </c>
      <c r="BZ120" s="306">
        <f>+IS!BZ137</f>
        <v>7.7305832243601991E-2</v>
      </c>
      <c r="CA120" s="306">
        <f>+IS!CA137</f>
        <v>8.0000000000000071E-2</v>
      </c>
      <c r="CB120" s="306">
        <f>+IS!CB137</f>
        <v>7.0000000000000062E-2</v>
      </c>
      <c r="CC120" s="306">
        <f>+IS!CC137</f>
        <v>6.0000000000000053E-2</v>
      </c>
      <c r="CD120" s="306">
        <f>+IS!CD137</f>
        <v>6.0000000000000053E-2</v>
      </c>
      <c r="CE120" s="306">
        <f>+IS!CE137</f>
        <v>6.7271500908719473E-2</v>
      </c>
    </row>
    <row r="121" spans="2:83" s="362" customFormat="1" ht="12.75">
      <c r="B121" s="357" t="s">
        <v>222</v>
      </c>
      <c r="C121" s="358"/>
      <c r="D121" s="359"/>
      <c r="E121" s="359"/>
      <c r="F121" s="359"/>
      <c r="G121" s="360">
        <f>+G119-G120</f>
        <v>0</v>
      </c>
      <c r="H121" s="360">
        <f>+H119-H120</f>
        <v>0</v>
      </c>
      <c r="I121" s="359"/>
      <c r="J121" s="359"/>
      <c r="K121" s="359"/>
      <c r="L121" s="360">
        <f>+L119-L120</f>
        <v>1.7123909003329052E-2</v>
      </c>
      <c r="M121" s="360">
        <f>+M119-M120</f>
        <v>1.3897115408775917E-2</v>
      </c>
      <c r="N121" s="359"/>
      <c r="O121" s="359"/>
      <c r="P121" s="360"/>
      <c r="Q121" s="360">
        <f t="shared" ref="Q121:AD121" si="707">+Q119-Q120</f>
        <v>-5.735546156892779E-2</v>
      </c>
      <c r="R121" s="360">
        <f t="shared" si="707"/>
        <v>-3.5189196956074253E-2</v>
      </c>
      <c r="S121" s="360">
        <f t="shared" si="707"/>
        <v>-3.7838828739826802E-3</v>
      </c>
      <c r="T121" s="360">
        <f t="shared" si="707"/>
        <v>-1.7980197330886183E-2</v>
      </c>
      <c r="U121" s="360">
        <f t="shared" si="707"/>
        <v>3.5354613898697096E-4</v>
      </c>
      <c r="V121" s="360">
        <f t="shared" si="707"/>
        <v>-7.2478496031040951E-3</v>
      </c>
      <c r="W121" s="360">
        <f t="shared" si="707"/>
        <v>-2.1871073854050627E-2</v>
      </c>
      <c r="X121" s="360">
        <f t="shared" si="707"/>
        <v>-7.8521571195740769E-2</v>
      </c>
      <c r="Y121" s="360">
        <f t="shared" si="707"/>
        <v>-2.843144087799776E-2</v>
      </c>
      <c r="Z121" s="360">
        <f t="shared" si="707"/>
        <v>-1.471833891658636E-2</v>
      </c>
      <c r="AA121" s="360">
        <f t="shared" si="707"/>
        <v>-2.2224557694174862E-3</v>
      </c>
      <c r="AB121" s="360">
        <f t="shared" si="707"/>
        <v>-3.1970584699988036E-2</v>
      </c>
      <c r="AC121" s="360">
        <f t="shared" si="707"/>
        <v>3.3423872224360496E-2</v>
      </c>
      <c r="AD121" s="360">
        <f t="shared" si="707"/>
        <v>6.1211879631454691E-2</v>
      </c>
      <c r="AE121" s="360">
        <f t="shared" ref="AE121:AI121" si="708">+AE119-AE120</f>
        <v>4.5484123660530118E-2</v>
      </c>
      <c r="AF121" s="360">
        <f t="shared" si="708"/>
        <v>4.0771235702472097E-2</v>
      </c>
      <c r="AG121" s="360">
        <f t="shared" si="708"/>
        <v>7.9245806026291499E-2</v>
      </c>
      <c r="AH121" s="360">
        <f t="shared" si="708"/>
        <v>8.6907611671696028E-3</v>
      </c>
      <c r="AI121" s="360">
        <f t="shared" si="708"/>
        <v>-1.8482249119277983E-2</v>
      </c>
      <c r="AJ121" s="360">
        <f t="shared" ref="AJ121:AN121" si="709">+AJ119-AJ120</f>
        <v>-3.0909759826045047E-2</v>
      </c>
      <c r="AK121" s="360">
        <f t="shared" si="709"/>
        <v>-2.9647648435085827E-2</v>
      </c>
      <c r="AL121" s="360">
        <f t="shared" si="709"/>
        <v>-5.8489967381413654E-2</v>
      </c>
      <c r="AM121" s="360">
        <f t="shared" si="709"/>
        <v>2.0173109957063007E-2</v>
      </c>
      <c r="AN121" s="360">
        <f t="shared" si="709"/>
        <v>8.2447419161633118E-3</v>
      </c>
      <c r="AO121" s="360">
        <f t="shared" ref="AO121:AS121" si="710">+AO119-AO120</f>
        <v>8.7008421031715688E-3</v>
      </c>
      <c r="AP121" s="360">
        <f t="shared" si="710"/>
        <v>2.631464686726126E-2</v>
      </c>
      <c r="AQ121" s="360">
        <f t="shared" si="710"/>
        <v>1.416685509830562E-2</v>
      </c>
      <c r="AR121" s="360">
        <f t="shared" si="710"/>
        <v>1.2177696994515541E-2</v>
      </c>
      <c r="AS121" s="360">
        <f t="shared" si="710"/>
        <v>5.4857896147100238E-3</v>
      </c>
      <c r="AT121" s="360">
        <f t="shared" ref="AT121" si="711">+AT119-AT120</f>
        <v>-1.4968361764076787E-2</v>
      </c>
      <c r="AU121" s="360">
        <f t="shared" ref="AU121" si="712">+AU119-AU120</f>
        <v>-8.779429330203703E-3</v>
      </c>
      <c r="AV121" s="361">
        <f t="shared" ref="AV121:AW121" si="713">+AV119-AV120</f>
        <v>-1.7639040197065858E-2</v>
      </c>
      <c r="AW121" s="360">
        <f t="shared" si="713"/>
        <v>-3.723997577131799E-2</v>
      </c>
      <c r="AX121" s="360">
        <f t="shared" ref="AX121" si="714">+AX119-AX120</f>
        <v>2.0039773255635884E-2</v>
      </c>
      <c r="AY121" s="360">
        <f t="shared" ref="AY121:AZ121" si="715">+AY119-AY120</f>
        <v>5.8530727516840519E-2</v>
      </c>
      <c r="AZ121" s="360">
        <f t="shared" si="715"/>
        <v>4.9860664027959523E-2</v>
      </c>
      <c r="BA121" s="361">
        <f t="shared" ref="BA121:BC121" si="716">+BA119-BA120</f>
        <v>7.5044625693454048E-2</v>
      </c>
      <c r="BB121" s="360">
        <f t="shared" si="716"/>
        <v>4.7217627510139915E-2</v>
      </c>
      <c r="BC121" s="360">
        <f t="shared" si="716"/>
        <v>5.8527119203342082E-3</v>
      </c>
      <c r="BD121" s="360">
        <f t="shared" ref="BD121:BE121" si="717">+BD119-BD120</f>
        <v>-2.2250329707884209E-2</v>
      </c>
      <c r="BE121" s="360">
        <f t="shared" si="717"/>
        <v>-5.2874475931280029E-2</v>
      </c>
      <c r="BF121" s="361">
        <f t="shared" ref="BF121:BI121" si="718">+BF119-BF120</f>
        <v>-5.1995977061304322E-2</v>
      </c>
      <c r="BG121" s="360">
        <f t="shared" si="718"/>
        <v>-4.1382795245738402E-2</v>
      </c>
      <c r="BH121" s="360">
        <f t="shared" si="718"/>
        <v>-4.7517004291198317E-2</v>
      </c>
      <c r="BI121" s="361">
        <f t="shared" si="718"/>
        <v>-2.9683363940386398E-2</v>
      </c>
      <c r="BJ121" s="361">
        <f t="shared" ref="BJ121" si="719">+BJ119-BJ120</f>
        <v>2.9749603856324525E-2</v>
      </c>
      <c r="BK121" s="361">
        <f t="shared" ref="BK121:BM121" si="720">+BK119-BK120</f>
        <v>2.4239615614856103E-3</v>
      </c>
      <c r="BL121" s="361">
        <f t="shared" si="720"/>
        <v>4.3863173328926308E-3</v>
      </c>
      <c r="BM121" s="361">
        <f t="shared" si="720"/>
        <v>-1.1436512119241682E-2</v>
      </c>
      <c r="BN121" s="361">
        <f t="shared" ref="BN121:BO121" si="721">+BN119-BN120</f>
        <v>1.6151966291237718E-2</v>
      </c>
      <c r="BO121" s="361">
        <f t="shared" si="721"/>
        <v>1.3458405406739038E-2</v>
      </c>
      <c r="BP121" s="361">
        <f t="shared" ref="BP121:BT121" si="722">+BP119-BP120</f>
        <v>1.880015601268914E-2</v>
      </c>
      <c r="BQ121" s="361">
        <f t="shared" si="722"/>
        <v>7.8023964083844266E-3</v>
      </c>
      <c r="BR121" s="361">
        <f t="shared" si="722"/>
        <v>-8.7880555777135605E-3</v>
      </c>
      <c r="BS121" s="361">
        <f t="shared" si="722"/>
        <v>-4.4596314512872492E-3</v>
      </c>
      <c r="BT121" s="361">
        <f t="shared" si="722"/>
        <v>-2.120517916778808E-2</v>
      </c>
      <c r="BU121" s="361">
        <f t="shared" ref="BU121:BY121" si="723">+BU119-BU120</f>
        <v>-2.1436960508046443E-2</v>
      </c>
      <c r="BV121" s="361">
        <f t="shared" si="723"/>
        <v>-4.9999999999998934E-3</v>
      </c>
      <c r="BW121" s="361">
        <f t="shared" si="723"/>
        <v>0</v>
      </c>
      <c r="BX121" s="361">
        <f t="shared" si="723"/>
        <v>5.0000000000001155E-3</v>
      </c>
      <c r="BY121" s="361">
        <f t="shared" si="723"/>
        <v>4.9999999999998934E-3</v>
      </c>
      <c r="BZ121" s="361">
        <f t="shared" ref="BZ121:CD121" si="724">+BZ119-BZ120</f>
        <v>-2.3058322436020351E-3</v>
      </c>
      <c r="CA121" s="361">
        <f t="shared" si="724"/>
        <v>-1.0000000000000009E-2</v>
      </c>
      <c r="CB121" s="361">
        <f t="shared" si="724"/>
        <v>0</v>
      </c>
      <c r="CC121" s="361">
        <f t="shared" si="724"/>
        <v>1.0000000000000009E-2</v>
      </c>
      <c r="CD121" s="361">
        <f t="shared" si="724"/>
        <v>1.0000000000000009E-2</v>
      </c>
      <c r="CE121" s="361">
        <f t="shared" ref="CE121" si="725">+CE119-CE120</f>
        <v>2.7284990912805895E-3</v>
      </c>
    </row>
    <row r="122" spans="2:83" ht="12.75">
      <c r="B122" s="273"/>
      <c r="C122" s="166"/>
      <c r="D122" s="345"/>
      <c r="E122" s="345"/>
      <c r="F122" s="345"/>
      <c r="G122" s="345"/>
      <c r="H122" s="347"/>
      <c r="I122" s="345"/>
      <c r="J122" s="345"/>
      <c r="K122" s="345"/>
      <c r="L122" s="345"/>
      <c r="M122" s="347"/>
      <c r="N122" s="345"/>
      <c r="O122" s="345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  <c r="AA122" s="347"/>
      <c r="AB122" s="347"/>
      <c r="AC122" s="347"/>
      <c r="AD122" s="347"/>
      <c r="AE122" s="347"/>
      <c r="AF122" s="347"/>
      <c r="AG122" s="347"/>
      <c r="AH122" s="347"/>
      <c r="AI122" s="347"/>
      <c r="AJ122" s="347"/>
      <c r="AK122" s="347"/>
      <c r="AL122" s="347"/>
      <c r="AM122" s="347"/>
      <c r="AN122" s="347"/>
      <c r="AO122" s="347"/>
      <c r="AP122" s="347"/>
      <c r="AQ122" s="347"/>
      <c r="AR122" s="347"/>
      <c r="AS122" s="347"/>
      <c r="AT122" s="347"/>
      <c r="AU122" s="340"/>
      <c r="AV122" s="340"/>
      <c r="AW122" s="347"/>
      <c r="AX122" s="340"/>
      <c r="AY122" s="340"/>
      <c r="AZ122" s="340"/>
      <c r="BA122" s="340"/>
      <c r="BB122" s="347"/>
      <c r="BC122" s="340"/>
      <c r="BD122" s="340"/>
      <c r="BE122" s="340"/>
      <c r="BF122" s="340"/>
      <c r="BG122" s="347"/>
      <c r="BH122" s="340"/>
      <c r="BI122" s="340"/>
      <c r="BJ122" s="340"/>
      <c r="BK122" s="340"/>
      <c r="BL122" s="340"/>
      <c r="BM122" s="340"/>
      <c r="BN122" s="340"/>
      <c r="BO122" s="340"/>
      <c r="BP122" s="340"/>
      <c r="BQ122" s="340"/>
      <c r="BR122" s="340"/>
      <c r="BS122" s="340"/>
      <c r="BT122" s="340"/>
      <c r="BU122" s="340"/>
      <c r="BV122" s="340"/>
      <c r="BW122" s="340"/>
      <c r="BX122" s="340"/>
      <c r="BY122" s="340"/>
      <c r="BZ122" s="340"/>
      <c r="CA122" s="340"/>
      <c r="CB122" s="340"/>
      <c r="CC122" s="340"/>
      <c r="CD122" s="340"/>
      <c r="CE122" s="340"/>
    </row>
    <row r="123" spans="2:83" ht="12.75">
      <c r="B123" s="166" t="s">
        <v>263</v>
      </c>
      <c r="C123" s="166"/>
      <c r="D123" s="351"/>
      <c r="E123" s="351"/>
      <c r="F123" s="351"/>
      <c r="G123" s="351">
        <f>+G35</f>
        <v>8616</v>
      </c>
      <c r="H123" s="351">
        <f>+H35</f>
        <v>8616</v>
      </c>
      <c r="I123" s="351"/>
      <c r="J123" s="351"/>
      <c r="K123" s="351"/>
      <c r="L123" s="351">
        <f t="shared" ref="L123:AQ123" si="726">+L35</f>
        <v>8889</v>
      </c>
      <c r="M123" s="351">
        <f t="shared" si="726"/>
        <v>8889</v>
      </c>
      <c r="N123" s="351">
        <f t="shared" si="726"/>
        <v>8908</v>
      </c>
      <c r="O123" s="351">
        <f t="shared" si="726"/>
        <v>8781</v>
      </c>
      <c r="P123" s="351">
        <f t="shared" si="726"/>
        <v>8965</v>
      </c>
      <c r="Q123" s="351">
        <f t="shared" si="726"/>
        <v>10064</v>
      </c>
      <c r="R123" s="351">
        <f t="shared" si="726"/>
        <v>10064</v>
      </c>
      <c r="S123" s="351">
        <f t="shared" si="726"/>
        <v>10064</v>
      </c>
      <c r="T123" s="351">
        <f t="shared" si="726"/>
        <v>9711</v>
      </c>
      <c r="U123" s="351">
        <f t="shared" si="726"/>
        <v>9884</v>
      </c>
      <c r="V123" s="351">
        <f t="shared" si="726"/>
        <v>14564</v>
      </c>
      <c r="W123" s="351">
        <f t="shared" si="726"/>
        <v>14564</v>
      </c>
      <c r="X123" s="351">
        <f t="shared" si="726"/>
        <v>13092</v>
      </c>
      <c r="Y123" s="351">
        <f t="shared" si="726"/>
        <v>13073</v>
      </c>
      <c r="Z123" s="351">
        <f t="shared" si="726"/>
        <v>14416</v>
      </c>
      <c r="AA123" s="351">
        <f t="shared" si="726"/>
        <v>15528</v>
      </c>
      <c r="AB123" s="351">
        <f t="shared" si="726"/>
        <v>15528</v>
      </c>
      <c r="AC123" s="351">
        <f t="shared" si="726"/>
        <v>18461</v>
      </c>
      <c r="AD123" s="351">
        <f t="shared" si="726"/>
        <v>16701</v>
      </c>
      <c r="AE123" s="351">
        <f t="shared" si="726"/>
        <v>16041</v>
      </c>
      <c r="AF123" s="351">
        <f t="shared" si="726"/>
        <v>17136</v>
      </c>
      <c r="AG123" s="351">
        <f t="shared" si="726"/>
        <v>17136</v>
      </c>
      <c r="AH123" s="351">
        <f t="shared" si="726"/>
        <v>14995</v>
      </c>
      <c r="AI123" s="351">
        <f t="shared" si="726"/>
        <v>13327</v>
      </c>
      <c r="AJ123" s="351">
        <f t="shared" si="726"/>
        <v>17558</v>
      </c>
      <c r="AK123" s="351">
        <f t="shared" si="726"/>
        <v>20423</v>
      </c>
      <c r="AL123" s="351">
        <f t="shared" si="726"/>
        <v>20423</v>
      </c>
      <c r="AM123" s="351">
        <f t="shared" si="726"/>
        <v>20450</v>
      </c>
      <c r="AN123" s="351">
        <f t="shared" si="726"/>
        <v>20835</v>
      </c>
      <c r="AO123" s="351">
        <f t="shared" si="726"/>
        <v>20156</v>
      </c>
      <c r="AP123" s="351">
        <f t="shared" si="726"/>
        <v>20935</v>
      </c>
      <c r="AQ123" s="351">
        <f t="shared" si="726"/>
        <v>20935</v>
      </c>
      <c r="AR123" s="351">
        <f t="shared" ref="AR123:BK123" si="727">+AR35</f>
        <v>21823</v>
      </c>
      <c r="AS123" s="351">
        <f t="shared" si="727"/>
        <v>21823</v>
      </c>
      <c r="AT123" s="351">
        <f t="shared" si="727"/>
        <v>19157</v>
      </c>
      <c r="AU123" s="351">
        <f t="shared" si="727"/>
        <v>30540</v>
      </c>
      <c r="AV123" s="354">
        <f t="shared" si="727"/>
        <v>30540</v>
      </c>
      <c r="AW123" s="351">
        <f t="shared" si="727"/>
        <v>29010</v>
      </c>
      <c r="AX123" s="351">
        <f t="shared" si="727"/>
        <v>28681</v>
      </c>
      <c r="AY123" s="351">
        <f t="shared" ref="AY123:AZ123" si="728">+AY35</f>
        <v>27528</v>
      </c>
      <c r="AZ123" s="351">
        <f t="shared" si="728"/>
        <v>32753</v>
      </c>
      <c r="BA123" s="354">
        <f t="shared" si="727"/>
        <v>32753</v>
      </c>
      <c r="BB123" s="351">
        <f t="shared" ref="BB123:BC123" si="729">+BB35</f>
        <v>31117</v>
      </c>
      <c r="BC123" s="351">
        <f t="shared" si="729"/>
        <v>28358</v>
      </c>
      <c r="BD123" s="351">
        <f t="shared" ref="BD123:BE123" si="730">+BD35</f>
        <v>24182</v>
      </c>
      <c r="BE123" s="351">
        <f t="shared" si="730"/>
        <v>23490</v>
      </c>
      <c r="BF123" s="354">
        <f t="shared" si="727"/>
        <v>23490</v>
      </c>
      <c r="BG123" s="351">
        <f t="shared" si="727"/>
        <v>21931</v>
      </c>
      <c r="BH123" s="351">
        <f t="shared" si="727"/>
        <v>34774</v>
      </c>
      <c r="BI123" s="354">
        <f t="shared" si="727"/>
        <v>32287</v>
      </c>
      <c r="BJ123" s="354">
        <f t="shared" ref="BJ123" si="731">+BJ35</f>
        <v>31671</v>
      </c>
      <c r="BK123" s="354">
        <f t="shared" si="727"/>
        <v>31671</v>
      </c>
      <c r="BL123" s="354">
        <f t="shared" ref="BL123:BP123" si="732">+BL35</f>
        <v>31311</v>
      </c>
      <c r="BM123" s="354">
        <f t="shared" si="732"/>
        <v>28812</v>
      </c>
      <c r="BN123" s="354">
        <f t="shared" ref="BN123:BO123" si="733">+BN35</f>
        <v>23116</v>
      </c>
      <c r="BO123" s="354">
        <f t="shared" si="733"/>
        <v>24265</v>
      </c>
      <c r="BP123" s="354">
        <f t="shared" si="732"/>
        <v>24265</v>
      </c>
      <c r="BQ123" s="354">
        <f t="shared" ref="BQ123:BS123" si="734">+BQ35</f>
        <v>22073</v>
      </c>
      <c r="BR123" s="354">
        <f t="shared" si="734"/>
        <v>19229</v>
      </c>
      <c r="BS123" s="354">
        <f t="shared" si="734"/>
        <v>16336</v>
      </c>
      <c r="BT123" s="354">
        <f t="shared" ref="BT123:BU123" si="735">+BT35</f>
        <v>16285</v>
      </c>
      <c r="BU123" s="354">
        <f t="shared" si="735"/>
        <v>16285</v>
      </c>
      <c r="BV123" s="354">
        <f t="shared" ref="BV123:BZ123" si="736">+BV35</f>
        <v>16447.849999999999</v>
      </c>
      <c r="BW123" s="354">
        <f t="shared" si="736"/>
        <v>16612.3285</v>
      </c>
      <c r="BX123" s="354">
        <f t="shared" si="736"/>
        <v>16778.451785000001</v>
      </c>
      <c r="BY123" s="354">
        <f t="shared" si="736"/>
        <v>16946.23630285</v>
      </c>
      <c r="BZ123" s="354">
        <f t="shared" si="736"/>
        <v>16946.23630285</v>
      </c>
      <c r="CA123" s="354">
        <f t="shared" ref="CA123:CE123" si="737">+CA35</f>
        <v>16776.773939821502</v>
      </c>
      <c r="CB123" s="354">
        <f t="shared" si="737"/>
        <v>16944.541679219717</v>
      </c>
      <c r="CC123" s="354">
        <f t="shared" si="737"/>
        <v>17113.987096011915</v>
      </c>
      <c r="CD123" s="354">
        <f t="shared" si="737"/>
        <v>17285.126966972035</v>
      </c>
      <c r="CE123" s="354">
        <f t="shared" si="737"/>
        <v>17285.126966972035</v>
      </c>
    </row>
    <row r="124" spans="2:83" ht="13.15" hidden="1" outlineLevel="1">
      <c r="B124" s="166"/>
      <c r="C124" s="182"/>
      <c r="D124" s="344"/>
      <c r="E124" s="344"/>
      <c r="F124" s="344"/>
      <c r="G124" s="344"/>
      <c r="H124" s="344"/>
      <c r="I124" s="344"/>
      <c r="J124" s="344"/>
      <c r="K124" s="344"/>
      <c r="L124" s="344"/>
      <c r="M124" s="344"/>
      <c r="N124" s="344"/>
      <c r="O124" s="344"/>
      <c r="P124" s="344"/>
      <c r="Q124" s="344"/>
      <c r="R124" s="344"/>
      <c r="S124" s="344"/>
      <c r="T124" s="344"/>
      <c r="U124" s="344"/>
      <c r="V124" s="344"/>
      <c r="W124" s="344"/>
      <c r="X124" s="344"/>
      <c r="Y124" s="344"/>
      <c r="Z124" s="344"/>
      <c r="AA124" s="344"/>
      <c r="AB124" s="344"/>
      <c r="AC124" s="344"/>
      <c r="AD124" s="344"/>
      <c r="AE124" s="344"/>
      <c r="AF124" s="344"/>
      <c r="AG124" s="344"/>
      <c r="AH124" s="344"/>
      <c r="AI124" s="344"/>
      <c r="AJ124" s="344"/>
      <c r="AK124" s="344"/>
      <c r="AL124" s="344"/>
      <c r="AM124" s="344"/>
      <c r="AN124" s="344"/>
      <c r="AO124" s="344"/>
      <c r="AP124" s="344"/>
      <c r="AQ124" s="344"/>
      <c r="AR124" s="344"/>
      <c r="AS124" s="344"/>
      <c r="AT124" s="344"/>
      <c r="AU124" s="344"/>
      <c r="AV124" s="179" t="e">
        <f ca="1">_xll.FDS(+IS!$B$1,"FE_ESTIMATE(DEFREVENUE_LT,MEAN,ANNUAL,"&amp;IS!AV$74&amp;",NOW,,,'')")*1000</f>
        <v>#NAME?</v>
      </c>
      <c r="AW124" s="344"/>
      <c r="AX124" s="344"/>
      <c r="AY124" s="344"/>
      <c r="AZ124" s="344"/>
      <c r="BA124" s="179" t="e">
        <f ca="1">_xll.FDS(+IS!$B$1,"FE_ESTIMATE(DEFREVENUE_LT,MEAN,ANNUAL,"&amp;IS!BA$74&amp;",NOW,,,'')")*1000</f>
        <v>#NAME?</v>
      </c>
      <c r="BB124" s="344"/>
      <c r="BC124" s="344"/>
      <c r="BD124" s="344"/>
      <c r="BE124" s="344"/>
      <c r="BF124" s="179"/>
      <c r="BG124" s="344"/>
      <c r="BH124" s="344"/>
      <c r="BI124" s="179"/>
      <c r="BJ124" s="179"/>
      <c r="BK124" s="179"/>
      <c r="BL124" s="179"/>
      <c r="BM124" s="179"/>
      <c r="BN124" s="179"/>
      <c r="BO124" s="179"/>
      <c r="BP124" s="179"/>
      <c r="BQ124" s="179"/>
      <c r="BR124" s="179"/>
      <c r="BS124" s="179"/>
      <c r="BT124" s="179"/>
      <c r="BU124" s="179"/>
      <c r="BV124" s="179"/>
      <c r="BW124" s="179"/>
      <c r="BX124" s="179"/>
      <c r="BY124" s="179"/>
      <c r="BZ124" s="179"/>
      <c r="CA124" s="179"/>
      <c r="CB124" s="179"/>
      <c r="CC124" s="179"/>
      <c r="CD124" s="179"/>
      <c r="CE124" s="179"/>
    </row>
    <row r="125" spans="2:83" ht="12.75" customHeight="1" collapsed="1">
      <c r="B125" s="315" t="s">
        <v>262</v>
      </c>
      <c r="C125" s="166"/>
      <c r="D125" s="345"/>
      <c r="E125" s="345"/>
      <c r="F125" s="345"/>
      <c r="G125" s="345"/>
      <c r="H125" s="347"/>
      <c r="I125" s="345"/>
      <c r="J125" s="345"/>
      <c r="K125" s="345"/>
      <c r="L125" s="345"/>
      <c r="M125" s="347"/>
      <c r="N125" s="345"/>
      <c r="O125" s="345"/>
      <c r="P125" s="347"/>
      <c r="Q125" s="347"/>
      <c r="R125" s="347"/>
      <c r="S125" s="347"/>
      <c r="T125" s="347"/>
      <c r="U125" s="347"/>
      <c r="V125" s="347"/>
      <c r="W125" s="347"/>
      <c r="X125" s="347"/>
      <c r="Y125" s="347"/>
      <c r="Z125" s="347"/>
      <c r="AA125" s="347"/>
      <c r="AB125" s="347"/>
      <c r="AC125" s="347"/>
      <c r="AD125" s="347"/>
      <c r="AE125" s="347"/>
      <c r="AF125" s="347"/>
      <c r="AG125" s="347"/>
      <c r="AH125" s="347"/>
      <c r="AI125" s="347"/>
      <c r="AJ125" s="347"/>
      <c r="AK125" s="347"/>
      <c r="AL125" s="347"/>
      <c r="AM125" s="347"/>
      <c r="AN125" s="347"/>
      <c r="AO125" s="347"/>
      <c r="AP125" s="347"/>
      <c r="AQ125" s="347"/>
      <c r="AR125" s="347"/>
      <c r="AS125" s="347"/>
      <c r="AT125" s="347"/>
      <c r="AU125" s="347"/>
      <c r="AV125" s="340"/>
      <c r="AW125" s="347"/>
      <c r="AX125" s="347"/>
      <c r="AY125" s="347"/>
      <c r="AZ125" s="347"/>
      <c r="BA125" s="340"/>
      <c r="BB125" s="347"/>
      <c r="BC125" s="347"/>
      <c r="BD125" s="347"/>
      <c r="BE125" s="347"/>
      <c r="BF125" s="340"/>
      <c r="BG125" s="347"/>
      <c r="BH125" s="347"/>
      <c r="BI125" s="343"/>
      <c r="BJ125" s="343"/>
      <c r="BK125" s="340"/>
      <c r="BL125" s="343"/>
      <c r="BM125" s="343"/>
      <c r="BN125" s="343"/>
      <c r="BO125" s="343"/>
      <c r="BP125" s="340"/>
      <c r="BQ125" s="343"/>
      <c r="BR125" s="343"/>
      <c r="BS125" s="343"/>
      <c r="BT125" s="343"/>
      <c r="BU125" s="340"/>
      <c r="BV125" s="343">
        <v>0.01</v>
      </c>
      <c r="BW125" s="343">
        <v>0.01</v>
      </c>
      <c r="BX125" s="343">
        <v>0.01</v>
      </c>
      <c r="BY125" s="343">
        <v>0.01</v>
      </c>
      <c r="BZ125" s="340"/>
      <c r="CA125" s="343">
        <v>-0.01</v>
      </c>
      <c r="CB125" s="343">
        <v>0.01</v>
      </c>
      <c r="CC125" s="343">
        <v>0.01</v>
      </c>
      <c r="CD125" s="343">
        <v>0.01</v>
      </c>
      <c r="CE125" s="340"/>
    </row>
    <row r="126" spans="2:83" ht="12.75">
      <c r="B126" s="273" t="s">
        <v>128</v>
      </c>
      <c r="C126" s="166"/>
      <c r="D126" s="345"/>
      <c r="E126" s="345"/>
      <c r="F126" s="345"/>
      <c r="G126" s="345"/>
      <c r="H126" s="347"/>
      <c r="I126" s="345"/>
      <c r="J126" s="345"/>
      <c r="K126" s="345"/>
      <c r="L126" s="347">
        <f>+L35/G35-1</f>
        <v>3.1685236768802305E-2</v>
      </c>
      <c r="M126" s="347">
        <f>+M35/H35-1</f>
        <v>3.1685236768802305E-2</v>
      </c>
      <c r="N126" s="345"/>
      <c r="O126" s="345"/>
      <c r="P126" s="347"/>
      <c r="Q126" s="347">
        <f t="shared" ref="Q126:BK126" si="738">+Q35/L35-1</f>
        <v>0.132185847676904</v>
      </c>
      <c r="R126" s="347">
        <f t="shared" si="738"/>
        <v>0.132185847676904</v>
      </c>
      <c r="S126" s="347">
        <f t="shared" si="738"/>
        <v>0.12977099236641232</v>
      </c>
      <c r="T126" s="347">
        <f t="shared" si="738"/>
        <v>0.10591048855483431</v>
      </c>
      <c r="U126" s="347">
        <f t="shared" si="738"/>
        <v>0.10250976017847191</v>
      </c>
      <c r="V126" s="347">
        <f t="shared" si="738"/>
        <v>0.44713831478537358</v>
      </c>
      <c r="W126" s="347">
        <f t="shared" si="738"/>
        <v>0.44713831478537358</v>
      </c>
      <c r="X126" s="347">
        <f t="shared" si="738"/>
        <v>0.30087440381558039</v>
      </c>
      <c r="Y126" s="347">
        <f t="shared" si="738"/>
        <v>0.34620533415714139</v>
      </c>
      <c r="Z126" s="347">
        <f t="shared" si="738"/>
        <v>0.45851881829218932</v>
      </c>
      <c r="AA126" s="347">
        <f t="shared" si="738"/>
        <v>6.619060697610557E-2</v>
      </c>
      <c r="AB126" s="347">
        <f t="shared" si="738"/>
        <v>6.619060697610557E-2</v>
      </c>
      <c r="AC126" s="347">
        <f t="shared" si="738"/>
        <v>0.41009776963030853</v>
      </c>
      <c r="AD126" s="347">
        <f t="shared" si="738"/>
        <v>0.27751854968255185</v>
      </c>
      <c r="AE126" s="347">
        <f t="shared" si="738"/>
        <v>0.11272197558268582</v>
      </c>
      <c r="AF126" s="347">
        <f t="shared" si="738"/>
        <v>0.10355486862442032</v>
      </c>
      <c r="AG126" s="347">
        <f t="shared" si="738"/>
        <v>0.10355486862442032</v>
      </c>
      <c r="AH126" s="347">
        <f t="shared" si="738"/>
        <v>-0.18774714262499326</v>
      </c>
      <c r="AI126" s="347">
        <f t="shared" si="738"/>
        <v>-0.20202383090832887</v>
      </c>
      <c r="AJ126" s="347">
        <f t="shared" si="738"/>
        <v>9.4570163954865727E-2</v>
      </c>
      <c r="AK126" s="347">
        <f t="shared" si="738"/>
        <v>0.19181839402427636</v>
      </c>
      <c r="AL126" s="347">
        <f t="shared" si="738"/>
        <v>0.19181839402427636</v>
      </c>
      <c r="AM126" s="347">
        <f t="shared" si="738"/>
        <v>0.36378792930976989</v>
      </c>
      <c r="AN126" s="347">
        <f t="shared" si="738"/>
        <v>0.56336759960981464</v>
      </c>
      <c r="AO126" s="347">
        <f t="shared" si="738"/>
        <v>0.1479667388085204</v>
      </c>
      <c r="AP126" s="347">
        <f t="shared" si="738"/>
        <v>2.5069774274102619E-2</v>
      </c>
      <c r="AQ126" s="347">
        <f t="shared" si="738"/>
        <v>2.5069774274102619E-2</v>
      </c>
      <c r="AR126" s="347">
        <f t="shared" si="738"/>
        <v>6.7139364303178573E-2</v>
      </c>
      <c r="AS126" s="347">
        <f t="shared" si="738"/>
        <v>4.7420206383489427E-2</v>
      </c>
      <c r="AT126" s="347">
        <f t="shared" si="738"/>
        <v>-4.956340543758686E-2</v>
      </c>
      <c r="AU126" s="347">
        <f t="shared" si="738"/>
        <v>0.45880105087174594</v>
      </c>
      <c r="AV126" s="340">
        <f t="shared" si="738"/>
        <v>0.45880105087174594</v>
      </c>
      <c r="AW126" s="347">
        <f t="shared" si="738"/>
        <v>0.32933143930715292</v>
      </c>
      <c r="AX126" s="347">
        <f t="shared" si="738"/>
        <v>0.31425560188791635</v>
      </c>
      <c r="AY126" s="347">
        <f t="shared" si="738"/>
        <v>0.43696821005376618</v>
      </c>
      <c r="AZ126" s="347">
        <f t="shared" si="738"/>
        <v>7.2462344466273754E-2</v>
      </c>
      <c r="BA126" s="340">
        <f t="shared" si="738"/>
        <v>7.2462344466273754E-2</v>
      </c>
      <c r="BB126" s="347">
        <f t="shared" si="738"/>
        <v>7.2630127542226752E-2</v>
      </c>
      <c r="BC126" s="347">
        <f t="shared" si="738"/>
        <v>-1.1261810954987572E-2</v>
      </c>
      <c r="BD126" s="347">
        <f t="shared" si="738"/>
        <v>-0.12154896832316187</v>
      </c>
      <c r="BE126" s="347">
        <f t="shared" si="738"/>
        <v>-0.28281378804994961</v>
      </c>
      <c r="BF126" s="340">
        <f t="shared" si="738"/>
        <v>-0.28281378804994961</v>
      </c>
      <c r="BG126" s="347">
        <f t="shared" si="738"/>
        <v>-0.29520840698010731</v>
      </c>
      <c r="BH126" s="347">
        <f t="shared" si="738"/>
        <v>0.2262500881585443</v>
      </c>
      <c r="BI126" s="340">
        <f t="shared" si="738"/>
        <v>0.33516665288230918</v>
      </c>
      <c r="BJ126" s="340">
        <f t="shared" si="738"/>
        <v>0.34827586206896544</v>
      </c>
      <c r="BK126" s="340">
        <f t="shared" si="738"/>
        <v>0.34827586206896544</v>
      </c>
      <c r="BL126" s="340">
        <f t="shared" ref="BL126" si="739">+BL35/BG35-1</f>
        <v>0.42770507500797961</v>
      </c>
      <c r="BM126" s="340">
        <f t="shared" ref="BM126:BO126" si="740">+BM35/BH35-1</f>
        <v>-0.17144993385863005</v>
      </c>
      <c r="BN126" s="340">
        <f t="shared" si="740"/>
        <v>-0.28404621054913748</v>
      </c>
      <c r="BO126" s="340">
        <f t="shared" si="740"/>
        <v>-0.23384168482207701</v>
      </c>
      <c r="BP126" s="340">
        <f t="shared" ref="BP126:BS126" si="741">+BP35/BK35-1</f>
        <v>-0.23384168482207701</v>
      </c>
      <c r="BQ126" s="340">
        <f t="shared" si="741"/>
        <v>-0.29504008176040364</v>
      </c>
      <c r="BR126" s="340">
        <f t="shared" si="741"/>
        <v>-0.33260447035957241</v>
      </c>
      <c r="BS126" s="340">
        <f t="shared" si="741"/>
        <v>-0.29330333967814504</v>
      </c>
      <c r="BT126" s="340">
        <f t="shared" ref="BT126" si="742">+BT35/BO35-1</f>
        <v>-0.32886874098495777</v>
      </c>
      <c r="BU126" s="340">
        <f t="shared" ref="BU126" si="743">+BU35/BP35-1</f>
        <v>-0.32886874098495777</v>
      </c>
      <c r="BV126" s="340">
        <f t="shared" ref="BV126" si="744">+BV35/BQ35-1</f>
        <v>-0.25484302088524446</v>
      </c>
      <c r="BW126" s="340">
        <f t="shared" ref="BW126" si="745">+BW35/BR35-1</f>
        <v>-0.13607943730823235</v>
      </c>
      <c r="BX126" s="340">
        <f t="shared" ref="BX126" si="746">+BX35/BS35-1</f>
        <v>2.7084462842801305E-2</v>
      </c>
      <c r="BY126" s="340">
        <f t="shared" ref="BY126" si="747">+BY35/BT35-1</f>
        <v>4.0604010000000024E-2</v>
      </c>
      <c r="BZ126" s="340">
        <f t="shared" ref="BZ126" si="748">+BZ35/BU35-1</f>
        <v>4.0604010000000024E-2</v>
      </c>
      <c r="CA126" s="340">
        <f t="shared" ref="CA126" si="749">+CA35/BV35-1</f>
        <v>1.9997990000000243E-2</v>
      </c>
      <c r="CB126" s="340">
        <f t="shared" ref="CB126" si="750">+CB35/BW35-1</f>
        <v>1.9997990000000243E-2</v>
      </c>
      <c r="CC126" s="340">
        <f t="shared" ref="CC126" si="751">+CC35/BX35-1</f>
        <v>1.9997990000000021E-2</v>
      </c>
      <c r="CD126" s="340">
        <f t="shared" ref="CD126" si="752">+CD35/BY35-1</f>
        <v>1.9997990000000243E-2</v>
      </c>
      <c r="CE126" s="340">
        <f t="shared" ref="CE126" si="753">+CE35/BZ35-1</f>
        <v>1.9997990000000243E-2</v>
      </c>
    </row>
    <row r="127" spans="2:83" ht="12.75">
      <c r="B127" s="273" t="s">
        <v>129</v>
      </c>
      <c r="C127" s="166"/>
      <c r="D127" s="345"/>
      <c r="E127" s="345"/>
      <c r="F127" s="345"/>
      <c r="G127" s="345"/>
      <c r="H127" s="347"/>
      <c r="I127" s="345"/>
      <c r="J127" s="345"/>
      <c r="K127" s="345"/>
      <c r="L127" s="345"/>
      <c r="M127" s="347"/>
      <c r="N127" s="347">
        <f>+N35/L35-1</f>
        <v>2.1374732815839792E-3</v>
      </c>
      <c r="O127" s="347">
        <f>+O35/N35-1</f>
        <v>-1.4256847777278869E-2</v>
      </c>
      <c r="P127" s="347">
        <f>+P35/O35-1</f>
        <v>2.095433321945106E-2</v>
      </c>
      <c r="Q127" s="347">
        <f>+Q35/P35-1</f>
        <v>0.12258784160624647</v>
      </c>
      <c r="R127" s="347"/>
      <c r="S127" s="347">
        <f>+S35/Q35-1</f>
        <v>0</v>
      </c>
      <c r="T127" s="347">
        <f>+T35/S35-1</f>
        <v>-3.5075516693163777E-2</v>
      </c>
      <c r="U127" s="347">
        <f>+U35/T35-1</f>
        <v>1.7814849140150413E-2</v>
      </c>
      <c r="V127" s="347">
        <f>+V35/U35-1</f>
        <v>0.47349251315256979</v>
      </c>
      <c r="W127" s="347"/>
      <c r="X127" s="347">
        <f>+X35/V35-1</f>
        <v>-0.10107113430376269</v>
      </c>
      <c r="Y127" s="347">
        <f>+Y35/X35-1</f>
        <v>-1.4512679498930314E-3</v>
      </c>
      <c r="Z127" s="347">
        <f>+Z35/Y35-1</f>
        <v>0.10273081924577365</v>
      </c>
      <c r="AA127" s="347">
        <f>+AA35/Z35-1</f>
        <v>7.7136514983351834E-2</v>
      </c>
      <c r="AB127" s="347"/>
      <c r="AC127" s="347">
        <f>+AC35/AA35-1</f>
        <v>0.18888459556929416</v>
      </c>
      <c r="AD127" s="347">
        <f>+AD35/AC35-1</f>
        <v>-9.5336113969990754E-2</v>
      </c>
      <c r="AE127" s="347">
        <f>+AE35/AD35-1</f>
        <v>-3.9518591701095729E-2</v>
      </c>
      <c r="AF127" s="347">
        <f>+AF35/AE35-1</f>
        <v>6.8262577146063208E-2</v>
      </c>
      <c r="AG127" s="347"/>
      <c r="AH127" s="347">
        <f>+AH35/AF35-1</f>
        <v>-0.12494164332399627</v>
      </c>
      <c r="AI127" s="347">
        <f>+AI35/AH35-1</f>
        <v>-0.11123707902634217</v>
      </c>
      <c r="AJ127" s="347">
        <f>+AJ35/AI35-1</f>
        <v>0.31747580100547768</v>
      </c>
      <c r="AK127" s="347">
        <f>+AK35/AJ35-1</f>
        <v>0.16317348217336836</v>
      </c>
      <c r="AL127" s="347"/>
      <c r="AM127" s="347">
        <f>+AM35/AK35-1</f>
        <v>1.3220388777359648E-3</v>
      </c>
      <c r="AN127" s="347">
        <f>+AN35/AM35-1</f>
        <v>1.8826405867970575E-2</v>
      </c>
      <c r="AO127" s="347">
        <f>+AO35/AN35-1</f>
        <v>-3.2589392848572096E-2</v>
      </c>
      <c r="AP127" s="347">
        <f>+AP35/AO35-1</f>
        <v>3.8648541377257484E-2</v>
      </c>
      <c r="AQ127" s="347"/>
      <c r="AR127" s="347">
        <f>+AR35/AP35-1</f>
        <v>4.2417005015524145E-2</v>
      </c>
      <c r="AS127" s="347">
        <f>+AS35/AR35-1</f>
        <v>0</v>
      </c>
      <c r="AT127" s="347">
        <f>+AT35/AS35-1</f>
        <v>-0.12216468863126062</v>
      </c>
      <c r="AU127" s="347">
        <f>+AU35/AT35-1</f>
        <v>0.59419533329853325</v>
      </c>
      <c r="AV127" s="340"/>
      <c r="AW127" s="347">
        <f>+AW35/AU35-1</f>
        <v>-5.0098231827112039E-2</v>
      </c>
      <c r="AX127" s="347">
        <f>+AX35/AV35-1</f>
        <v>-6.087098886705955E-2</v>
      </c>
      <c r="AY127" s="347">
        <f>+AY35/AW35-1</f>
        <v>-5.108583247156151E-2</v>
      </c>
      <c r="AZ127" s="347">
        <f>+AZ35/AX35-1</f>
        <v>0.1419755238659739</v>
      </c>
      <c r="BA127" s="340"/>
      <c r="BB127" s="347">
        <f>+BB35/AZ35-1</f>
        <v>-4.9949622935303584E-2</v>
      </c>
      <c r="BC127" s="347">
        <f>+BC35/BA35-1</f>
        <v>-0.13418618141849603</v>
      </c>
      <c r="BD127" s="347">
        <f>+BD35/BB35-1</f>
        <v>-0.22286852845711347</v>
      </c>
      <c r="BE127" s="347">
        <f>+BE35/BC35-1</f>
        <v>-0.17166231751181327</v>
      </c>
      <c r="BF127" s="340"/>
      <c r="BG127" s="347">
        <f>+BG35/BE35-1</f>
        <v>-6.6368667518092783E-2</v>
      </c>
      <c r="BH127" s="347">
        <f>+BH35/BF35-1</f>
        <v>0.4803746275010643</v>
      </c>
      <c r="BI127" s="340">
        <f>+BI35/BH35-1</f>
        <v>-7.1518950940357762E-2</v>
      </c>
      <c r="BJ127" s="340">
        <f>+BJ35/BI35-1</f>
        <v>-1.9078886239043524E-2</v>
      </c>
      <c r="BK127" s="340"/>
      <c r="BL127" s="340">
        <f>+BL35/BJ35-1</f>
        <v>-1.1366865586814434E-2</v>
      </c>
      <c r="BM127" s="340">
        <f>+BM35/BL35-1</f>
        <v>-7.9812206572769995E-2</v>
      </c>
      <c r="BN127" s="340">
        <f>+BN35/BM35-1</f>
        <v>-0.19769540469248925</v>
      </c>
      <c r="BO127" s="340">
        <f>+BO35/BN35-1</f>
        <v>4.9705831458729977E-2</v>
      </c>
      <c r="BP127" s="340"/>
      <c r="BQ127" s="340">
        <f>+BQ35/BO35-1</f>
        <v>-9.033587471667015E-2</v>
      </c>
      <c r="BR127" s="340">
        <f>+BR35/BQ35-1</f>
        <v>-0.1288451954876999</v>
      </c>
      <c r="BS127" s="340">
        <f>+BS35/BR35-1</f>
        <v>-0.15044984138540751</v>
      </c>
      <c r="BT127" s="340">
        <f>+BT35/BS35-1</f>
        <v>-3.12193927522042E-3</v>
      </c>
      <c r="BU127" s="340"/>
      <c r="BV127" s="340">
        <f>+BV35/BT35-1</f>
        <v>1.0000000000000009E-2</v>
      </c>
      <c r="BW127" s="340">
        <f>+BW35/BV35-1</f>
        <v>1.0000000000000009E-2</v>
      </c>
      <c r="BX127" s="340">
        <f>+BX35/BW35-1</f>
        <v>1.0000000000000009E-2</v>
      </c>
      <c r="BY127" s="340">
        <f>+BY35/BX35-1</f>
        <v>1.0000000000000009E-2</v>
      </c>
      <c r="BZ127" s="340"/>
      <c r="CA127" s="340">
        <f>+CA35/BY35-1</f>
        <v>-9.9999999999998979E-3</v>
      </c>
      <c r="CB127" s="340">
        <f>+CB35/CA35-1</f>
        <v>1.0000000000000009E-2</v>
      </c>
      <c r="CC127" s="340">
        <f>+CC35/CB35-1</f>
        <v>1.0000000000000009E-2</v>
      </c>
      <c r="CD127" s="340">
        <f>+CD35/CC35-1</f>
        <v>1.0000000000000009E-2</v>
      </c>
      <c r="CE127" s="340"/>
    </row>
    <row r="128" spans="2:83" ht="12.75">
      <c r="B128" s="273"/>
      <c r="C128" s="166"/>
      <c r="D128" s="345"/>
      <c r="E128" s="345"/>
      <c r="F128" s="345"/>
      <c r="G128" s="345"/>
      <c r="H128" s="347"/>
      <c r="I128" s="345"/>
      <c r="J128" s="345"/>
      <c r="K128" s="345"/>
      <c r="L128" s="345"/>
      <c r="M128" s="347"/>
      <c r="N128" s="347"/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  <c r="AA128" s="347"/>
      <c r="AB128" s="347"/>
      <c r="AC128" s="347"/>
      <c r="AD128" s="347"/>
      <c r="AE128" s="347"/>
      <c r="AF128" s="347"/>
      <c r="AG128" s="347"/>
      <c r="AH128" s="347"/>
      <c r="AI128" s="347"/>
      <c r="AJ128" s="347"/>
      <c r="AK128" s="347"/>
      <c r="AL128" s="347"/>
      <c r="AM128" s="347"/>
      <c r="AN128" s="347"/>
      <c r="AO128" s="347"/>
      <c r="AP128" s="347"/>
      <c r="AQ128" s="347"/>
      <c r="AR128" s="347"/>
      <c r="AS128" s="347"/>
      <c r="AT128" s="347"/>
      <c r="AU128" s="347"/>
      <c r="AV128" s="340"/>
      <c r="AW128" s="347"/>
      <c r="AX128" s="347"/>
      <c r="AY128" s="347"/>
      <c r="AZ128" s="347"/>
      <c r="BA128" s="340"/>
      <c r="BB128" s="347"/>
      <c r="BC128" s="347"/>
      <c r="BD128" s="347"/>
      <c r="BE128" s="347"/>
      <c r="BF128" s="340"/>
      <c r="BG128" s="347"/>
      <c r="BH128" s="347"/>
      <c r="BI128" s="340"/>
      <c r="BJ128" s="340"/>
      <c r="BK128" s="340"/>
      <c r="BL128" s="340"/>
      <c r="BM128" s="340"/>
      <c r="BN128" s="340"/>
      <c r="BO128" s="340"/>
      <c r="BP128" s="340"/>
      <c r="BQ128" s="340"/>
      <c r="BR128" s="340"/>
      <c r="BS128" s="340"/>
      <c r="BT128" s="340"/>
      <c r="BU128" s="340"/>
      <c r="BV128" s="340"/>
      <c r="BW128" s="340"/>
      <c r="BX128" s="340"/>
      <c r="BY128" s="340"/>
      <c r="BZ128" s="340"/>
      <c r="CA128" s="340"/>
      <c r="CB128" s="340"/>
      <c r="CC128" s="340"/>
      <c r="CD128" s="340"/>
      <c r="CE128" s="340"/>
    </row>
    <row r="129" spans="2:83" ht="12.75">
      <c r="B129" s="166" t="s">
        <v>486</v>
      </c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345"/>
      <c r="S129" s="345"/>
      <c r="T129" s="345"/>
      <c r="U129" s="345"/>
      <c r="V129" s="345"/>
      <c r="W129" s="345"/>
      <c r="X129" s="345"/>
      <c r="Y129" s="345"/>
      <c r="Z129" s="345"/>
      <c r="AA129" s="345"/>
      <c r="AB129" s="345"/>
      <c r="AC129" s="345"/>
      <c r="AD129" s="345"/>
      <c r="AE129" s="345"/>
      <c r="AF129" s="345"/>
      <c r="AG129" s="345"/>
      <c r="AH129" s="345"/>
      <c r="AI129" s="345"/>
      <c r="AJ129" s="345"/>
      <c r="AK129" s="345"/>
      <c r="AL129" s="345"/>
      <c r="AM129" s="345"/>
      <c r="AN129" s="345"/>
      <c r="AO129" s="345"/>
      <c r="AP129" s="345"/>
      <c r="AQ129" s="345"/>
      <c r="AR129" s="345"/>
      <c r="AS129" s="345"/>
      <c r="AT129" s="345"/>
      <c r="AU129" s="345"/>
      <c r="AV129" s="166"/>
      <c r="AW129" s="345"/>
      <c r="AX129" s="166"/>
      <c r="AY129" s="166"/>
      <c r="AZ129" s="166"/>
      <c r="BA129" s="166"/>
      <c r="BB129" s="345"/>
      <c r="BC129" s="166"/>
      <c r="BD129" s="166"/>
      <c r="BE129" s="166"/>
      <c r="BF129" s="354">
        <f t="shared" ref="BF129:BK129" si="754">SUM(BF123+BF116)</f>
        <v>317218</v>
      </c>
      <c r="BG129" s="354">
        <f t="shared" si="754"/>
        <v>318447</v>
      </c>
      <c r="BH129" s="354">
        <f t="shared" si="754"/>
        <v>337220</v>
      </c>
      <c r="BI129" s="354">
        <f t="shared" si="754"/>
        <v>339466</v>
      </c>
      <c r="BJ129" s="354">
        <f t="shared" si="754"/>
        <v>364938</v>
      </c>
      <c r="BK129" s="354">
        <f t="shared" si="754"/>
        <v>364938</v>
      </c>
      <c r="BL129" s="354">
        <f>SUM(BL123+BL116)</f>
        <v>363439</v>
      </c>
      <c r="BM129" s="354">
        <f t="shared" ref="BM129:BU129" si="755">SUM(BM123+BM116)</f>
        <v>353146</v>
      </c>
      <c r="BN129" s="354">
        <f t="shared" ref="BN129:BO129" si="756">SUM(BN123+BN116)</f>
        <v>360937</v>
      </c>
      <c r="BO129" s="354">
        <f t="shared" si="756"/>
        <v>395722</v>
      </c>
      <c r="BP129" s="354">
        <f t="shared" si="755"/>
        <v>395722</v>
      </c>
      <c r="BQ129" s="354">
        <f>SUM(BQ123+BQ116)</f>
        <v>388897</v>
      </c>
      <c r="BR129" s="354">
        <f t="shared" ref="BR129:BS129" si="757">SUM(BR123+BR116)</f>
        <v>374200</v>
      </c>
      <c r="BS129" s="354">
        <f t="shared" si="757"/>
        <v>387812</v>
      </c>
      <c r="BT129" s="354">
        <f t="shared" si="755"/>
        <v>417412</v>
      </c>
      <c r="BU129" s="354">
        <f t="shared" si="755"/>
        <v>417412</v>
      </c>
      <c r="BV129" s="354">
        <f t="shared" ref="BV129:BZ129" si="758">SUM(BV123+BV116)</f>
        <v>412617.77</v>
      </c>
      <c r="BW129" s="354">
        <f t="shared" si="758"/>
        <v>399981.00850000005</v>
      </c>
      <c r="BX129" s="354">
        <f t="shared" si="758"/>
        <v>417972.531785</v>
      </c>
      <c r="BY129" s="354">
        <f t="shared" si="758"/>
        <v>448157.76130284998</v>
      </c>
      <c r="BZ129" s="354">
        <f t="shared" si="758"/>
        <v>448157.76130284998</v>
      </c>
      <c r="CA129" s="354">
        <f t="shared" ref="CA129:CE129" si="759">SUM(CA123+CA116)</f>
        <v>440678.58833982161</v>
      </c>
      <c r="CB129" s="354">
        <f t="shared" si="759"/>
        <v>427149.02927921974</v>
      </c>
      <c r="CC129" s="354">
        <f t="shared" si="759"/>
        <v>446391.652696012</v>
      </c>
      <c r="CD129" s="354">
        <f t="shared" si="759"/>
        <v>478681.45871697203</v>
      </c>
      <c r="CE129" s="354">
        <f t="shared" si="759"/>
        <v>478681.45871697203</v>
      </c>
    </row>
    <row r="130" spans="2:83" ht="12.75">
      <c r="B130" s="166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345"/>
      <c r="S130" s="345"/>
      <c r="T130" s="345"/>
      <c r="U130" s="345"/>
      <c r="V130" s="345"/>
      <c r="W130" s="345"/>
      <c r="X130" s="345"/>
      <c r="Y130" s="345"/>
      <c r="Z130" s="345"/>
      <c r="AA130" s="345"/>
      <c r="AB130" s="345"/>
      <c r="AC130" s="345"/>
      <c r="AD130" s="345"/>
      <c r="AE130" s="345"/>
      <c r="AF130" s="345"/>
      <c r="AG130" s="345"/>
      <c r="AH130" s="345"/>
      <c r="AI130" s="345"/>
      <c r="AJ130" s="345"/>
      <c r="AK130" s="345"/>
      <c r="AL130" s="345"/>
      <c r="AM130" s="345"/>
      <c r="AN130" s="345"/>
      <c r="AO130" s="345"/>
      <c r="AP130" s="345"/>
      <c r="AQ130" s="345"/>
      <c r="AR130" s="345"/>
      <c r="AS130" s="345"/>
      <c r="AT130" s="345"/>
      <c r="AU130" s="345"/>
      <c r="AV130" s="166"/>
      <c r="AW130" s="345"/>
      <c r="AX130" s="166"/>
      <c r="AY130" s="166"/>
      <c r="AZ130" s="166"/>
      <c r="BA130" s="166"/>
      <c r="BB130" s="345"/>
      <c r="BC130" s="166"/>
      <c r="BD130" s="166"/>
      <c r="BE130" s="166"/>
      <c r="BF130" s="166"/>
      <c r="BG130" s="345"/>
      <c r="BH130" s="166"/>
      <c r="BI130" s="166"/>
      <c r="BJ130" s="166"/>
      <c r="BK130" s="166"/>
      <c r="BL130" s="354"/>
      <c r="BM130" s="725"/>
      <c r="BN130" s="725">
        <f>BN129/BI129-1</f>
        <v>6.3249338667200838E-2</v>
      </c>
      <c r="BO130" s="725">
        <f>BO129/BJ129-1</f>
        <v>8.4354054661339717E-2</v>
      </c>
      <c r="BP130" s="354"/>
      <c r="BQ130" s="354"/>
      <c r="BR130" s="725"/>
      <c r="BS130" s="725">
        <f>BS129/BN129-1</f>
        <v>7.4458977605510013E-2</v>
      </c>
      <c r="BT130" s="354"/>
      <c r="BU130" s="354"/>
      <c r="BV130" s="354"/>
      <c r="BW130" s="354"/>
      <c r="BX130" s="354"/>
      <c r="BY130" s="354"/>
      <c r="BZ130" s="354"/>
      <c r="CA130" s="354"/>
      <c r="CB130" s="354"/>
      <c r="CC130" s="354"/>
      <c r="CD130" s="354"/>
      <c r="CE130" s="354"/>
    </row>
    <row r="131" spans="2:83" ht="12.75">
      <c r="B131" s="273" t="s">
        <v>348</v>
      </c>
      <c r="C131" s="354">
        <f t="shared" ref="C131:P131" si="760">+C42</f>
        <v>0</v>
      </c>
      <c r="D131" s="351">
        <f t="shared" si="760"/>
        <v>0</v>
      </c>
      <c r="E131" s="351">
        <f t="shared" si="760"/>
        <v>0</v>
      </c>
      <c r="F131" s="351">
        <f t="shared" si="760"/>
        <v>0</v>
      </c>
      <c r="G131" s="351">
        <f t="shared" si="760"/>
        <v>0</v>
      </c>
      <c r="H131" s="351">
        <f t="shared" si="760"/>
        <v>0</v>
      </c>
      <c r="I131" s="351">
        <f t="shared" si="760"/>
        <v>0</v>
      </c>
      <c r="J131" s="351">
        <f t="shared" si="760"/>
        <v>0</v>
      </c>
      <c r="K131" s="351">
        <f t="shared" si="760"/>
        <v>0</v>
      </c>
      <c r="L131" s="351">
        <f t="shared" si="760"/>
        <v>0</v>
      </c>
      <c r="M131" s="351">
        <f t="shared" si="760"/>
        <v>0</v>
      </c>
      <c r="N131" s="351">
        <f t="shared" si="760"/>
        <v>0</v>
      </c>
      <c r="O131" s="351">
        <f t="shared" si="760"/>
        <v>0</v>
      </c>
      <c r="P131" s="351">
        <f t="shared" si="760"/>
        <v>0</v>
      </c>
      <c r="Q131" s="351">
        <f>+'Billings &amp; Recs'!Q12</f>
        <v>44482</v>
      </c>
      <c r="R131" s="351">
        <f>+'Billings &amp; Recs'!R12</f>
        <v>148396</v>
      </c>
      <c r="S131" s="351">
        <f>+'Billings &amp; Recs'!S12</f>
        <v>44275</v>
      </c>
      <c r="T131" s="351">
        <f>+'Billings &amp; Recs'!T12</f>
        <v>39006</v>
      </c>
      <c r="U131" s="351">
        <f>+'Billings &amp; Recs'!U12</f>
        <v>47170</v>
      </c>
      <c r="V131" s="351">
        <f>+'Billings &amp; Recs'!V12</f>
        <v>55211</v>
      </c>
      <c r="W131" s="351">
        <f>+'Billings &amp; Recs'!W12</f>
        <v>185662</v>
      </c>
      <c r="X131" s="351">
        <f>+'Billings &amp; Recs'!X12</f>
        <v>48308</v>
      </c>
      <c r="Y131" s="351">
        <f>+'Billings &amp; Recs'!Y12</f>
        <v>50643</v>
      </c>
      <c r="Z131" s="351">
        <f>+'Billings &amp; Recs'!Z12</f>
        <v>57603</v>
      </c>
      <c r="AA131" s="351">
        <f>+'Billings &amp; Recs'!AA12</f>
        <v>59274</v>
      </c>
      <c r="AB131" s="351">
        <f>+'Billings &amp; Recs'!AB12</f>
        <v>215828</v>
      </c>
      <c r="AC131" s="351">
        <f>+'Billings &amp; Recs'!AC12</f>
        <v>61134</v>
      </c>
      <c r="AD131" s="351">
        <f>+'Billings &amp; Recs'!AD12</f>
        <v>58236</v>
      </c>
      <c r="AE131" s="351">
        <f>+'Billings &amp; Recs'!AE12</f>
        <v>66259</v>
      </c>
      <c r="AF131" s="351">
        <f>+'Billings &amp; Recs'!AF12</f>
        <v>75029</v>
      </c>
      <c r="AG131" s="351">
        <f>+'Billings &amp; Recs'!AG12</f>
        <v>260658</v>
      </c>
      <c r="AH131" s="351">
        <f>+'Billings &amp; Recs'!AH12</f>
        <v>67207</v>
      </c>
      <c r="AI131" s="351">
        <f>+'Billings &amp; Recs'!AI12</f>
        <v>70248</v>
      </c>
      <c r="AJ131" s="351">
        <f>+'Billings &amp; Recs'!AJ12</f>
        <v>79585</v>
      </c>
      <c r="AK131" s="351">
        <f>+'Billings &amp; Recs'!AK12</f>
        <v>86574</v>
      </c>
      <c r="AL131" s="351">
        <f>+'Billings &amp; Recs'!AL12</f>
        <v>303614</v>
      </c>
      <c r="AM131" s="351">
        <f>+'Billings &amp; Recs'!AM12</f>
        <v>85198</v>
      </c>
      <c r="AN131" s="351">
        <f>+'Billings &amp; Recs'!AN12</f>
        <v>81471</v>
      </c>
      <c r="AO131" s="351">
        <f>+'Billings &amp; Recs'!AO12</f>
        <v>85687</v>
      </c>
      <c r="AP131" s="351">
        <f>+'Billings &amp; Recs'!AP12</f>
        <v>97311</v>
      </c>
      <c r="AQ131" s="351">
        <f>+'Billings &amp; Recs'!AQ12</f>
        <v>349667</v>
      </c>
      <c r="AR131" s="351">
        <f>+'Billings &amp; Recs'!AR12</f>
        <v>96840</v>
      </c>
      <c r="AS131" s="351">
        <f>+'Billings &amp; Recs'!AS12</f>
        <v>86701</v>
      </c>
      <c r="AT131" s="351">
        <f>+'Billings &amp; Recs'!AT12</f>
        <v>90954</v>
      </c>
      <c r="AU131" s="351">
        <f>+'Billings &amp; Recs'!AU12</f>
        <v>119395</v>
      </c>
      <c r="AV131" s="182">
        <f>+'Billings &amp; Recs'!AV12</f>
        <v>393890</v>
      </c>
      <c r="AW131" s="351">
        <f>+'Billings &amp; Recs'!AW12</f>
        <v>100630</v>
      </c>
      <c r="AX131" s="182">
        <f>+'Billings &amp; Recs'!AX12</f>
        <v>108655</v>
      </c>
      <c r="AY131" s="182">
        <f>+'Billings &amp; Recs'!AY12</f>
        <v>113140</v>
      </c>
      <c r="AZ131" s="182">
        <f>+'Billings &amp; Recs'!AZ12</f>
        <v>135338</v>
      </c>
      <c r="BA131" s="182">
        <f>+'Billings &amp; Recs'!BA12</f>
        <v>457763</v>
      </c>
      <c r="BB131" s="351">
        <f>+'Billings &amp; Recs'!BB12</f>
        <v>120846</v>
      </c>
      <c r="BC131" s="182">
        <f>+'Billings &amp; Recs'!BC12</f>
        <v>125925</v>
      </c>
      <c r="BD131" s="182">
        <f>+'Billings &amp; Recs'!BD12</f>
        <v>124607</v>
      </c>
      <c r="BE131" s="182">
        <f>+'Billings &amp; Recs'!BE12</f>
        <v>144938</v>
      </c>
      <c r="BF131" s="182">
        <f>+'Billings &amp; Recs'!BF12</f>
        <v>516316</v>
      </c>
      <c r="BG131" s="351">
        <f>+'Billings &amp; Recs'!BG12</f>
        <v>131912</v>
      </c>
      <c r="BH131" s="182">
        <f>+'Billings &amp; Recs'!BH12</f>
        <v>155982</v>
      </c>
      <c r="BI131" s="182">
        <f>+'Billings &amp; Recs'!BI12</f>
        <v>144242</v>
      </c>
      <c r="BJ131" s="182">
        <f>+'Billings &amp; Recs'!BJ12</f>
        <v>170042</v>
      </c>
      <c r="BK131" s="182">
        <f>+'Billings &amp; Recs'!BK12</f>
        <v>602178</v>
      </c>
      <c r="BL131" s="182">
        <f>+'Billings &amp; Recs'!BL12</f>
        <v>144306</v>
      </c>
      <c r="BM131" s="182">
        <f>+'Billings &amp; Recs'!BM12</f>
        <v>138415</v>
      </c>
      <c r="BN131" s="182">
        <f>+'Billings &amp; Recs'!BN12</f>
        <v>161658</v>
      </c>
      <c r="BO131" s="182">
        <f>+'Billings &amp; Recs'!BO12</f>
        <v>193976</v>
      </c>
      <c r="BP131" s="182">
        <f>+'Billings &amp; Recs'!BP12</f>
        <v>638355</v>
      </c>
      <c r="BQ131" s="182">
        <f>+'Billings &amp; Recs'!BQ12</f>
        <v>153074</v>
      </c>
      <c r="BR131" s="182">
        <f>+'Billings &amp; Recs'!BR12</f>
        <v>149365</v>
      </c>
      <c r="BS131" s="182">
        <f>+'Billings &amp; Recs'!BS12</f>
        <v>183494</v>
      </c>
      <c r="BT131" s="182">
        <f>+'Billings &amp; Recs'!BT12</f>
        <v>204882</v>
      </c>
      <c r="BU131" s="182">
        <f>+'Billings &amp; Recs'!BU12</f>
        <v>690815</v>
      </c>
      <c r="BV131" s="182">
        <f>+'Billings &amp; Recs'!BV12</f>
        <v>168696.18500000006</v>
      </c>
      <c r="BW131" s="182">
        <f>+'Billings &amp; Recs'!BW12</f>
        <v>164550.19850000006</v>
      </c>
      <c r="BX131" s="182">
        <f>+'Billings &amp; Recs'!BX12</f>
        <v>200614.67328499997</v>
      </c>
      <c r="BY131" s="182">
        <f>+'Billings &amp; Recs'!BY12</f>
        <v>217736.96951784997</v>
      </c>
      <c r="BZ131" s="182">
        <f>+'Billings &amp; Recs'!BZ12</f>
        <v>751598.02630285011</v>
      </c>
      <c r="CA131" s="182">
        <f>+'Billings &amp; Recs'!CA12</f>
        <v>179890.47523697163</v>
      </c>
      <c r="CB131" s="182">
        <f>+'Billings &amp; Recs'!CB12</f>
        <v>176060.48813939822</v>
      </c>
      <c r="CC131" s="182">
        <f>+'Billings &amp; Recs'!CC12</f>
        <v>212823.16241679218</v>
      </c>
      <c r="CD131" s="182">
        <f>+'Billings &amp; Recs'!CD12</f>
        <v>231094.6504209601</v>
      </c>
      <c r="CE131" s="182">
        <f>+'Billings &amp; Recs'!CE12</f>
        <v>799868.77621412207</v>
      </c>
    </row>
    <row r="132" spans="2:83" ht="13.15" hidden="1" outlineLevel="1">
      <c r="B132" s="273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345"/>
      <c r="S132" s="345"/>
      <c r="T132" s="345"/>
      <c r="U132" s="345"/>
      <c r="V132" s="345"/>
      <c r="W132" s="345"/>
      <c r="X132" s="345"/>
      <c r="Y132" s="345"/>
      <c r="Z132" s="345"/>
      <c r="AA132" s="345"/>
      <c r="AB132" s="345"/>
      <c r="AC132" s="345"/>
      <c r="AD132" s="345"/>
      <c r="AE132" s="345"/>
      <c r="AF132" s="345"/>
      <c r="AG132" s="345"/>
      <c r="AH132" s="345"/>
      <c r="AI132" s="345"/>
      <c r="AJ132" s="345"/>
      <c r="AK132" s="345"/>
      <c r="AL132" s="345"/>
      <c r="AM132" s="345"/>
      <c r="AN132" s="345"/>
      <c r="AO132" s="345"/>
      <c r="AP132" s="345"/>
      <c r="AQ132" s="345"/>
      <c r="AR132" s="345"/>
      <c r="AS132" s="345"/>
      <c r="AT132" s="345"/>
      <c r="AU132" s="345"/>
      <c r="AV132" s="179">
        <f>+'Billings &amp; Recs'!AV13</f>
        <v>0</v>
      </c>
      <c r="AW132" s="345"/>
      <c r="AX132" s="179"/>
      <c r="AY132" s="179"/>
      <c r="AZ132" s="179"/>
      <c r="BA132" s="179">
        <f>+'Billings &amp; Recs'!BA13</f>
        <v>0</v>
      </c>
      <c r="BB132" s="345"/>
      <c r="BC132" s="179"/>
      <c r="BD132" s="179"/>
      <c r="BE132" s="179"/>
      <c r="BF132" s="179">
        <f>+'Billings &amp; Recs'!BP13</f>
        <v>0</v>
      </c>
      <c r="BG132" s="345"/>
      <c r="BH132" s="179"/>
      <c r="BI132" s="179"/>
      <c r="BJ132" s="179"/>
      <c r="BK132" s="179">
        <f>+'Billings &amp; Recs'!BU13</f>
        <v>0</v>
      </c>
      <c r="BL132" s="179"/>
      <c r="BM132" s="179"/>
      <c r="BN132" s="179"/>
      <c r="BO132" s="179"/>
      <c r="BP132" s="179">
        <f>+'Billings &amp; Recs'!BZ13</f>
        <v>0</v>
      </c>
      <c r="BQ132" s="179"/>
      <c r="BR132" s="179"/>
      <c r="BS132" s="179"/>
      <c r="BT132" s="179"/>
      <c r="BU132" s="179">
        <f>+'Billings &amp; Recs'!CE13</f>
        <v>0</v>
      </c>
      <c r="BV132" s="179"/>
      <c r="BW132" s="179"/>
      <c r="BX132" s="179"/>
      <c r="BY132" s="179"/>
      <c r="BZ132" s="179">
        <f>+'Billings &amp; Recs'!CJ13</f>
        <v>0</v>
      </c>
      <c r="CA132" s="179"/>
      <c r="CB132" s="179"/>
      <c r="CC132" s="179"/>
      <c r="CD132" s="179"/>
      <c r="CE132" s="179">
        <f>+'Billings &amp; Recs'!CO13</f>
        <v>0</v>
      </c>
    </row>
    <row r="133" spans="2:83" ht="12.75" collapsed="1">
      <c r="B133" s="273" t="s">
        <v>128</v>
      </c>
      <c r="C133" s="166"/>
      <c r="D133" s="345"/>
      <c r="E133" s="345"/>
      <c r="F133" s="345"/>
      <c r="G133" s="345"/>
      <c r="H133" s="345"/>
      <c r="I133" s="345"/>
      <c r="J133" s="345"/>
      <c r="K133" s="345"/>
      <c r="L133" s="348" t="e">
        <f>+L131/G131-1</f>
        <v>#DIV/0!</v>
      </c>
      <c r="M133" s="348" t="e">
        <f>+M131/H131-1</f>
        <v>#DIV/0!</v>
      </c>
      <c r="N133" s="348"/>
      <c r="O133" s="348"/>
      <c r="P133" s="348"/>
      <c r="Q133" s="348" t="e">
        <f t="shared" ref="Q133:AW133" si="761">+Q131/L131-1</f>
        <v>#DIV/0!</v>
      </c>
      <c r="R133" s="348" t="e">
        <f t="shared" si="761"/>
        <v>#DIV/0!</v>
      </c>
      <c r="S133" s="348" t="e">
        <f t="shared" si="761"/>
        <v>#DIV/0!</v>
      </c>
      <c r="T133" s="348" t="e">
        <f t="shared" si="761"/>
        <v>#DIV/0!</v>
      </c>
      <c r="U133" s="348" t="e">
        <f t="shared" si="761"/>
        <v>#DIV/0!</v>
      </c>
      <c r="V133" s="348">
        <f t="shared" si="761"/>
        <v>0.24119868710939252</v>
      </c>
      <c r="W133" s="348">
        <f t="shared" si="761"/>
        <v>0.25112536726057311</v>
      </c>
      <c r="X133" s="348">
        <f t="shared" si="761"/>
        <v>9.1089779785431979E-2</v>
      </c>
      <c r="Y133" s="348">
        <f t="shared" si="761"/>
        <v>0.29833871712044302</v>
      </c>
      <c r="Z133" s="348">
        <f t="shared" si="761"/>
        <v>0.22117871528513877</v>
      </c>
      <c r="AA133" s="348">
        <f t="shared" si="761"/>
        <v>7.3590407708608696E-2</v>
      </c>
      <c r="AB133" s="348">
        <f t="shared" si="761"/>
        <v>0.16247805151296446</v>
      </c>
      <c r="AC133" s="348">
        <f t="shared" si="761"/>
        <v>0.26550467831415081</v>
      </c>
      <c r="AD133" s="348">
        <f t="shared" si="761"/>
        <v>0.14993187607369229</v>
      </c>
      <c r="AE133" s="348">
        <f t="shared" si="761"/>
        <v>0.1502699512178185</v>
      </c>
      <c r="AF133" s="348">
        <f t="shared" si="761"/>
        <v>0.26579950737254099</v>
      </c>
      <c r="AG133" s="348">
        <f t="shared" si="761"/>
        <v>0.20771169635079789</v>
      </c>
      <c r="AH133" s="348">
        <f t="shared" si="761"/>
        <v>9.9339156606798262E-2</v>
      </c>
      <c r="AI133" s="348">
        <f t="shared" si="761"/>
        <v>0.20626416649495161</v>
      </c>
      <c r="AJ133" s="348">
        <f t="shared" si="761"/>
        <v>0.20111984786972337</v>
      </c>
      <c r="AK133" s="348">
        <f t="shared" ref="AK133" si="762">+AK131/AF131-1</f>
        <v>0.15387383545029265</v>
      </c>
      <c r="AL133" s="348">
        <f t="shared" ref="AL133" si="763">+AL131/AG131-1</f>
        <v>0.164798318102648</v>
      </c>
      <c r="AM133" s="348">
        <f t="shared" si="761"/>
        <v>0.26769532935557305</v>
      </c>
      <c r="AN133" s="348">
        <f t="shared" si="761"/>
        <v>0.15976255551759477</v>
      </c>
      <c r="AO133" s="348">
        <f t="shared" si="761"/>
        <v>7.6672739837909232E-2</v>
      </c>
      <c r="AP133" s="348">
        <f t="shared" si="761"/>
        <v>0.12402106868112828</v>
      </c>
      <c r="AQ133" s="348">
        <f t="shared" si="761"/>
        <v>0.15168272872792432</v>
      </c>
      <c r="AR133" s="348">
        <f t="shared" si="761"/>
        <v>0.13664640015023832</v>
      </c>
      <c r="AS133" s="348">
        <f t="shared" si="761"/>
        <v>6.4194621399025431E-2</v>
      </c>
      <c r="AT133" s="348">
        <f t="shared" si="761"/>
        <v>6.1467900615029158E-2</v>
      </c>
      <c r="AU133" s="348">
        <f t="shared" si="761"/>
        <v>0.22694248337803535</v>
      </c>
      <c r="AV133" s="626">
        <f t="shared" ref="AV133" si="764">+AV131/AQ131-1</f>
        <v>0.1264717574149119</v>
      </c>
      <c r="AW133" s="348">
        <f t="shared" si="761"/>
        <v>3.9136720363486255E-2</v>
      </c>
      <c r="AX133" s="306">
        <f t="shared" ref="AX133:AZ133" si="765">+AX131/AS131-1</f>
        <v>0.25321507249051334</v>
      </c>
      <c r="AY133" s="306">
        <f t="shared" si="765"/>
        <v>0.24392550080260356</v>
      </c>
      <c r="AZ133" s="306">
        <f t="shared" si="765"/>
        <v>0.13353155492273538</v>
      </c>
      <c r="BA133" s="306">
        <f t="shared" ref="BA133:BH133" si="766">+BA131/AV131-1</f>
        <v>0.16215948615095588</v>
      </c>
      <c r="BB133" s="348">
        <f t="shared" si="766"/>
        <v>0.2008943654973665</v>
      </c>
      <c r="BC133" s="306">
        <f t="shared" si="766"/>
        <v>0.15894344484837331</v>
      </c>
      <c r="BD133" s="306">
        <f t="shared" si="766"/>
        <v>0.10135230687643637</v>
      </c>
      <c r="BE133" s="306">
        <f t="shared" si="766"/>
        <v>7.0933514607870674E-2</v>
      </c>
      <c r="BF133" s="306">
        <f t="shared" ref="BF133" si="767">+BF131/BA131-1</f>
        <v>0.12791116800615177</v>
      </c>
      <c r="BG133" s="348">
        <f t="shared" si="766"/>
        <v>9.1571090478791195E-2</v>
      </c>
      <c r="BH133" s="306">
        <f t="shared" si="766"/>
        <v>0.23868969624776648</v>
      </c>
      <c r="BI133" s="306">
        <f t="shared" ref="BI133:BJ133" si="768">+BI131/BD131-1</f>
        <v>0.15757541711139833</v>
      </c>
      <c r="BJ133" s="306">
        <f t="shared" si="768"/>
        <v>0.17320509459217037</v>
      </c>
      <c r="BK133" s="306">
        <f t="shared" ref="BK133" si="769">+BK131/BF131-1</f>
        <v>0.1662973837727284</v>
      </c>
      <c r="BL133" s="306">
        <f t="shared" ref="BL133" si="770">+BL131/BG131-1</f>
        <v>9.3956577112014106E-2</v>
      </c>
      <c r="BM133" s="306">
        <f t="shared" ref="BM133:BO133" si="771">+BM131/BH131-1</f>
        <v>-0.11262196920157452</v>
      </c>
      <c r="BN133" s="306">
        <f t="shared" si="771"/>
        <v>0.12074153159274004</v>
      </c>
      <c r="BO133" s="306">
        <f t="shared" si="771"/>
        <v>0.14075346090965768</v>
      </c>
      <c r="BP133" s="306">
        <f t="shared" ref="BP133:BS133" si="772">+BP131/BK131-1</f>
        <v>6.0076920777577314E-2</v>
      </c>
      <c r="BQ133" s="306">
        <f t="shared" si="772"/>
        <v>6.0759774368356112E-2</v>
      </c>
      <c r="BR133" s="306">
        <f t="shared" si="772"/>
        <v>7.9109923057472109E-2</v>
      </c>
      <c r="BS133" s="306">
        <f t="shared" si="772"/>
        <v>0.1350752823862722</v>
      </c>
      <c r="BT133" s="306">
        <f t="shared" ref="BT133" si="773">+BT131/BO131-1</f>
        <v>5.6223450323751312E-2</v>
      </c>
      <c r="BU133" s="306">
        <f t="shared" ref="BU133" si="774">+BU131/BP131-1</f>
        <v>8.2179978225282113E-2</v>
      </c>
      <c r="BV133" s="306">
        <f t="shared" ref="BV133" si="775">+BV131/BQ131-1</f>
        <v>0.10205642369050305</v>
      </c>
      <c r="BW133" s="306">
        <f t="shared" ref="BW133" si="776">+BW131/BR131-1</f>
        <v>0.1016650386636766</v>
      </c>
      <c r="BX133" s="306">
        <f t="shared" ref="BX133" si="777">+BX131/BS131-1</f>
        <v>9.3303722655781574E-2</v>
      </c>
      <c r="BY133" s="306">
        <f t="shared" ref="BY133" si="778">+BY131/BT131-1</f>
        <v>6.274328402617102E-2</v>
      </c>
      <c r="BZ133" s="306">
        <f t="shared" ref="BZ133" si="779">+BZ131/BU131-1</f>
        <v>8.7987415303446115E-2</v>
      </c>
      <c r="CA133" s="306">
        <f t="shared" ref="CA133" si="780">+CA131/BV131-1</f>
        <v>6.6357696452777448E-2</v>
      </c>
      <c r="CB133" s="306">
        <f t="shared" ref="CB133" si="781">+CB131/BW131-1</f>
        <v>6.9950019777084371E-2</v>
      </c>
      <c r="CC133" s="306">
        <f t="shared" ref="CC133" si="782">+CC131/BX131-1</f>
        <v>6.0855414670732522E-2</v>
      </c>
      <c r="CD133" s="306">
        <f t="shared" ref="CD133" si="783">+CD131/BY131-1</f>
        <v>6.1347785507849029E-2</v>
      </c>
      <c r="CE133" s="306">
        <f t="shared" ref="CE133" si="784">+CE131/BZ131-1</f>
        <v>6.4224157358047318E-2</v>
      </c>
    </row>
    <row r="134" spans="2:83" ht="13.15" thickBot="1">
      <c r="B134" s="320" t="s">
        <v>129</v>
      </c>
      <c r="C134" s="341"/>
      <c r="D134" s="350"/>
      <c r="E134" s="350"/>
      <c r="F134" s="350"/>
      <c r="G134" s="350"/>
      <c r="H134" s="350"/>
      <c r="I134" s="350"/>
      <c r="J134" s="350"/>
      <c r="K134" s="350"/>
      <c r="L134" s="350"/>
      <c r="M134" s="350"/>
      <c r="N134" s="393" t="e">
        <f>+N131/L131-1</f>
        <v>#DIV/0!</v>
      </c>
      <c r="O134" s="393" t="e">
        <f>+O131/N131-1</f>
        <v>#DIV/0!</v>
      </c>
      <c r="P134" s="393" t="e">
        <f>+P131/O131-1</f>
        <v>#DIV/0!</v>
      </c>
      <c r="Q134" s="393" t="e">
        <f>+Q131/P131-1</f>
        <v>#DIV/0!</v>
      </c>
      <c r="R134" s="350"/>
      <c r="S134" s="393">
        <f>+S131/Q131-1</f>
        <v>-4.6535677352637084E-3</v>
      </c>
      <c r="T134" s="393">
        <f>+T131/S131-1</f>
        <v>-0.11900621118012422</v>
      </c>
      <c r="U134" s="393">
        <f>+U131/T131-1</f>
        <v>0.20930113315900112</v>
      </c>
      <c r="V134" s="393">
        <f>+V131/U131-1</f>
        <v>0.17046851812592756</v>
      </c>
      <c r="W134" s="350"/>
      <c r="X134" s="393">
        <f>+X131/V131-1</f>
        <v>-0.12502943254061694</v>
      </c>
      <c r="Y134" s="393">
        <f>+Y131/X131-1</f>
        <v>4.8335679390577146E-2</v>
      </c>
      <c r="Z134" s="393">
        <f>+Z131/Y131-1</f>
        <v>0.13743261655115213</v>
      </c>
      <c r="AA134" s="393">
        <f>+AA131/Z131-1</f>
        <v>2.9008905786156891E-2</v>
      </c>
      <c r="AB134" s="350"/>
      <c r="AC134" s="393">
        <f>+AC131/AA131-1</f>
        <v>3.1379694301042704E-2</v>
      </c>
      <c r="AD134" s="393">
        <f>+AD131/AC131-1</f>
        <v>-4.7404063205417568E-2</v>
      </c>
      <c r="AE134" s="393">
        <f>+AE131/AD131-1</f>
        <v>0.13776701696545102</v>
      </c>
      <c r="AF134" s="393">
        <f>+AF131/AE131-1</f>
        <v>0.1323593775939873</v>
      </c>
      <c r="AG134" s="350"/>
      <c r="AH134" s="393">
        <f>+AH131/AF131-1</f>
        <v>-0.10425302216476295</v>
      </c>
      <c r="AI134" s="393">
        <f>+AI131/AH131-1</f>
        <v>4.5248262829764796E-2</v>
      </c>
      <c r="AJ134" s="393">
        <f>+AJ131/AI131-1</f>
        <v>0.13291481608017319</v>
      </c>
      <c r="AK134" s="393">
        <f>+AK131/AJ131-1</f>
        <v>8.7818056166363068E-2</v>
      </c>
      <c r="AL134" s="350"/>
      <c r="AM134" s="393">
        <f>+AM131/AK131-1</f>
        <v>-1.5893917342389208E-2</v>
      </c>
      <c r="AN134" s="393">
        <f>+AN131/AM131-1</f>
        <v>-4.3745158337050172E-2</v>
      </c>
      <c r="AO134" s="393">
        <f>+AO131/AN131-1</f>
        <v>5.1748474917455267E-2</v>
      </c>
      <c r="AP134" s="393">
        <f>+AP131/AO131-1</f>
        <v>0.13565651732468176</v>
      </c>
      <c r="AQ134" s="350"/>
      <c r="AR134" s="393">
        <f>+AR131/AP131-1</f>
        <v>-4.8401516786386045E-3</v>
      </c>
      <c r="AS134" s="393">
        <f>+AS131/AR131-1</f>
        <v>-0.10469847170590663</v>
      </c>
      <c r="AT134" s="393">
        <f>+AT131/AS131-1</f>
        <v>4.9053644133285612E-2</v>
      </c>
      <c r="AU134" s="393">
        <f>+AU131/AT131-1</f>
        <v>0.31269652791520985</v>
      </c>
      <c r="AV134" s="341"/>
      <c r="AW134" s="393">
        <f>+AW131/AU131-1</f>
        <v>-0.15716738556890997</v>
      </c>
      <c r="AX134" s="342">
        <f>+AX131/AW131-1</f>
        <v>7.9747590181854289E-2</v>
      </c>
      <c r="AY134" s="342">
        <f>+AY131/AX131-1</f>
        <v>4.1277437761722879E-2</v>
      </c>
      <c r="AZ134" s="342">
        <f>+AZ131/AY131-1</f>
        <v>0.1961993989747215</v>
      </c>
      <c r="BA134" s="341"/>
      <c r="BB134" s="393">
        <f>+BB131/AZ131-1</f>
        <v>-0.10708005142679811</v>
      </c>
      <c r="BC134" s="342">
        <f>+BC131/BB131-1</f>
        <v>4.2028697681346427E-2</v>
      </c>
      <c r="BD134" s="342">
        <f>+BD131/BC131-1</f>
        <v>-1.046654754814369E-2</v>
      </c>
      <c r="BE134" s="342">
        <f>+BE131/BD131-1</f>
        <v>0.16316097811519414</v>
      </c>
      <c r="BF134" s="341"/>
      <c r="BG134" s="393">
        <f>+BG131/BE131-1</f>
        <v>-8.9872911175813086E-2</v>
      </c>
      <c r="BH134" s="342">
        <f>+BH131/BG131-1</f>
        <v>0.18247013160288672</v>
      </c>
      <c r="BI134" s="342">
        <f>+BI131/BH131-1</f>
        <v>-7.5265094690412981E-2</v>
      </c>
      <c r="BJ134" s="342">
        <f>+BJ131/BI131-1</f>
        <v>0.17886607229517071</v>
      </c>
      <c r="BK134" s="341"/>
      <c r="BL134" s="342">
        <f>+BL131/BJ131-1</f>
        <v>-0.15135084273297184</v>
      </c>
      <c r="BM134" s="342">
        <f>+BM131/BL131-1</f>
        <v>-4.0822973403739304E-2</v>
      </c>
      <c r="BN134" s="342">
        <f>+BN131/BM131-1</f>
        <v>0.16792255174655923</v>
      </c>
      <c r="BO134" s="342">
        <f>+BO131/BN131-1</f>
        <v>0.1999158717786933</v>
      </c>
      <c r="BP134" s="341"/>
      <c r="BQ134" s="342">
        <f>+BQ131/BO131-1</f>
        <v>-0.21086113746030433</v>
      </c>
      <c r="BR134" s="342">
        <f>+BR131/BQ131-1</f>
        <v>-2.4230110926741322E-2</v>
      </c>
      <c r="BS134" s="342">
        <f>+BS131/BR131-1</f>
        <v>0.22849395775449399</v>
      </c>
      <c r="BT134" s="342">
        <f>+BT131/BS131-1</f>
        <v>0.11655966952597896</v>
      </c>
      <c r="BU134" s="341"/>
      <c r="BV134" s="342">
        <f>+BV131/BT131-1</f>
        <v>-0.17661783367987405</v>
      </c>
      <c r="BW134" s="342">
        <f>+BW131/BV131-1</f>
        <v>-2.4576646472473596E-2</v>
      </c>
      <c r="BX134" s="342">
        <f>+BX131/BW131-1</f>
        <v>0.21917004727891531</v>
      </c>
      <c r="BY134" s="342">
        <f>+BY131/BX131-1</f>
        <v>8.534917188497726E-2</v>
      </c>
      <c r="BZ134" s="341"/>
      <c r="CA134" s="342">
        <f>+CA131/BY131-1</f>
        <v>-0.17381749348622078</v>
      </c>
      <c r="CB134" s="342">
        <f>+CB131/CA131-1</f>
        <v>-2.1290660845317833E-2</v>
      </c>
      <c r="CC134" s="342">
        <f>+CC131/CB131-1</f>
        <v>0.20880706776347591</v>
      </c>
      <c r="CD134" s="342">
        <f>+CD131/CC131-1</f>
        <v>8.5852910917586511E-2</v>
      </c>
      <c r="CE134" s="341"/>
    </row>
  </sheetData>
  <printOptions horizontalCentered="1" verticalCentered="1"/>
  <pageMargins left="0.25" right="0.25" top="0.75" bottom="0.75" header="0.3" footer="0.3"/>
  <pageSetup scale="42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5">
    <tabColor theme="0" tint="-0.499984740745262"/>
    <pageSetUpPr fitToPage="1"/>
  </sheetPr>
  <dimension ref="A2:CE129"/>
  <sheetViews>
    <sheetView showGridLines="0" view="pageBreakPreview" zoomScale="80" zoomScaleNormal="85" zoomScaleSheetLayoutView="80" workbookViewId="0">
      <pane xSplit="2" ySplit="5" topLeftCell="C23" activePane="bottomRight" state="frozen"/>
      <selection pane="topRight"/>
      <selection pane="bottomLeft"/>
      <selection pane="bottomRight" activeCell="B2" sqref="B2:CE74"/>
    </sheetView>
  </sheetViews>
  <sheetFormatPr defaultColWidth="12.3984375" defaultRowHeight="11.65" outlineLevelRow="1" outlineLevelCol="2"/>
  <cols>
    <col min="1" max="1" width="3.3984375" style="3" customWidth="1"/>
    <col min="2" max="2" width="42.3984375" style="115" customWidth="1"/>
    <col min="3" max="3" width="1.59765625" style="3" customWidth="1"/>
    <col min="4" max="7" width="7" style="3" hidden="1" customWidth="1" outlineLevel="2"/>
    <col min="8" max="8" width="9" style="3" hidden="1" customWidth="1" outlineLevel="1" collapsed="1"/>
    <col min="9" max="12" width="7" style="3" hidden="1" customWidth="1" outlineLevel="2"/>
    <col min="13" max="13" width="9" style="3" hidden="1" customWidth="1" outlineLevel="1" collapsed="1"/>
    <col min="14" max="14" width="7.59765625" style="3" hidden="1" customWidth="1" outlineLevel="2"/>
    <col min="15" max="16" width="8" style="3" hidden="1" customWidth="1" outlineLevel="2"/>
    <col min="17" max="17" width="9" style="3" hidden="1" customWidth="1" outlineLevel="2"/>
    <col min="18" max="18" width="11.3984375" style="3" hidden="1" customWidth="1" collapsed="1"/>
    <col min="19" max="22" width="7.59765625" style="3" hidden="1" customWidth="1" outlineLevel="1"/>
    <col min="23" max="23" width="11.3984375" style="3" hidden="1" customWidth="1" collapsed="1"/>
    <col min="24" max="26" width="8" style="3" hidden="1" customWidth="1" outlineLevel="1"/>
    <col min="27" max="27" width="7.59765625" style="3" hidden="1" customWidth="1" outlineLevel="1"/>
    <col min="28" max="28" width="11.3984375" style="3" hidden="1" customWidth="1" collapsed="1"/>
    <col min="29" max="29" width="11.3984375" style="3" hidden="1" customWidth="1" outlineLevel="1"/>
    <col min="30" max="32" width="10.3984375" style="3" hidden="1" customWidth="1" outlineLevel="1"/>
    <col min="33" max="33" width="11.3984375" style="3" hidden="1" customWidth="1" collapsed="1"/>
    <col min="34" max="37" width="9.3984375" style="3" hidden="1" customWidth="1" outlineLevel="1"/>
    <col min="38" max="38" width="10.3984375" style="3" hidden="1" customWidth="1" collapsed="1"/>
    <col min="39" max="42" width="8.59765625" style="3" hidden="1" customWidth="1" outlineLevel="1"/>
    <col min="43" max="43" width="9.59765625" style="3" hidden="1" customWidth="1" collapsed="1"/>
    <col min="44" max="47" width="9.59765625" style="3" hidden="1" customWidth="1" outlineLevel="1"/>
    <col min="48" max="48" width="9.59765625" style="3" hidden="1" customWidth="1" collapsed="1"/>
    <col min="49" max="52" width="9.59765625" style="3" hidden="1" customWidth="1" outlineLevel="1"/>
    <col min="53" max="53" width="10" style="3" hidden="1" customWidth="1" collapsed="1"/>
    <col min="54" max="56" width="9.3984375" style="3" hidden="1" customWidth="1" outlineLevel="1"/>
    <col min="57" max="57" width="9.59765625" style="3" hidden="1" customWidth="1" outlineLevel="1"/>
    <col min="58" max="58" width="12.86328125" style="3" hidden="1" customWidth="1" collapsed="1"/>
    <col min="59" max="62" width="9.59765625" style="3" hidden="1" customWidth="1" outlineLevel="1"/>
    <col min="63" max="63" width="11.265625" style="3" hidden="1" customWidth="1" collapsed="1"/>
    <col min="64" max="67" width="10.3984375" style="3" hidden="1" customWidth="1" outlineLevel="1"/>
    <col min="68" max="68" width="10.3984375" style="3" customWidth="1" collapsed="1"/>
    <col min="69" max="69" width="9.73046875" style="3" customWidth="1" outlineLevel="1"/>
    <col min="70" max="70" width="10.1328125" style="3" customWidth="1" outlineLevel="1"/>
    <col min="71" max="71" width="10.3984375" style="3" customWidth="1" outlineLevel="1"/>
    <col min="72" max="72" width="10" style="3" customWidth="1" outlineLevel="1"/>
    <col min="73" max="73" width="12.1328125" style="3" bestFit="1" customWidth="1"/>
    <col min="74" max="74" width="12.3984375" style="3" customWidth="1" outlineLevel="1"/>
    <col min="75" max="75" width="11.1328125" style="3" customWidth="1" outlineLevel="1"/>
    <col min="76" max="77" width="12.3984375" style="3" customWidth="1" outlineLevel="1"/>
    <col min="78" max="78" width="11.3984375" style="3" customWidth="1"/>
    <col min="79" max="79" width="12.3984375" style="3" hidden="1" customWidth="1" outlineLevel="1"/>
    <col min="80" max="80" width="11.1328125" style="3" hidden="1" customWidth="1" outlineLevel="1"/>
    <col min="81" max="82" width="12.3984375" style="3" hidden="1" customWidth="1" outlineLevel="1"/>
    <col min="83" max="83" width="11.3984375" style="3" customWidth="1" collapsed="1"/>
    <col min="84" max="16384" width="12.3984375" style="3"/>
  </cols>
  <sheetData>
    <row r="2" spans="1:83" ht="12" thickBot="1">
      <c r="B2" s="637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  <c r="R2" s="631"/>
      <c r="S2" s="631"/>
      <c r="T2" s="631"/>
      <c r="U2" s="631"/>
      <c r="V2" s="631"/>
      <c r="W2" s="631"/>
      <c r="X2" s="631"/>
      <c r="Y2" s="631"/>
      <c r="Z2" s="631"/>
      <c r="AA2" s="631"/>
      <c r="AB2" s="631"/>
      <c r="AC2" s="631"/>
      <c r="AD2" s="631"/>
      <c r="AE2" s="631"/>
      <c r="AF2" s="631"/>
      <c r="AG2" s="631"/>
      <c r="AH2" s="631"/>
      <c r="AI2" s="631"/>
      <c r="AJ2" s="631"/>
      <c r="AK2" s="631"/>
      <c r="AL2" s="631"/>
      <c r="AM2" s="631"/>
      <c r="AN2" s="631"/>
      <c r="AO2" s="631"/>
      <c r="AP2" s="631"/>
      <c r="AQ2" s="631"/>
      <c r="AR2" s="631"/>
      <c r="AS2" s="631"/>
      <c r="AT2" s="631"/>
      <c r="AU2" s="631"/>
      <c r="AV2" s="631"/>
      <c r="AW2" s="631"/>
      <c r="AX2" s="631"/>
      <c r="AY2" s="631"/>
      <c r="AZ2" s="631"/>
      <c r="BA2" s="631"/>
      <c r="BB2" s="631"/>
      <c r="BC2" s="631"/>
      <c r="BD2" s="631"/>
      <c r="BE2" s="631"/>
      <c r="BF2" s="631"/>
      <c r="BG2" s="631"/>
      <c r="BH2" s="631"/>
      <c r="BI2" s="631"/>
      <c r="BJ2" s="631"/>
      <c r="BK2" s="631"/>
      <c r="BL2" s="631"/>
      <c r="BM2" s="631"/>
      <c r="BN2" s="631"/>
      <c r="BO2" s="631"/>
      <c r="BP2" s="631"/>
      <c r="BQ2" s="631"/>
      <c r="BR2" s="631"/>
      <c r="BS2" s="631"/>
      <c r="BT2" s="631"/>
      <c r="BU2" s="631"/>
      <c r="BV2" s="631"/>
      <c r="BW2" s="631"/>
      <c r="BX2" s="631"/>
      <c r="BY2" s="631"/>
      <c r="BZ2" s="631"/>
      <c r="CA2" s="631"/>
      <c r="CB2" s="631"/>
      <c r="CC2" s="631"/>
      <c r="CD2" s="631"/>
      <c r="CE2" s="631"/>
    </row>
    <row r="3" spans="1:83" ht="17.649999999999999">
      <c r="B3" s="290" t="s">
        <v>169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3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  <c r="BS3" s="112"/>
      <c r="BT3" s="112"/>
      <c r="BU3" s="112"/>
      <c r="BV3" s="112"/>
      <c r="BW3" s="112"/>
      <c r="BX3" s="112"/>
      <c r="BY3" s="112"/>
      <c r="BZ3" s="112"/>
      <c r="CA3" s="112"/>
      <c r="CB3" s="112"/>
      <c r="CC3" s="112"/>
      <c r="CD3" s="112"/>
      <c r="CE3" s="112"/>
    </row>
    <row r="4" spans="1:83" ht="13.15">
      <c r="B4" s="291" t="s">
        <v>292</v>
      </c>
      <c r="C4" s="166"/>
      <c r="D4" s="168" t="s">
        <v>92</v>
      </c>
      <c r="E4" s="168" t="s">
        <v>93</v>
      </c>
      <c r="F4" s="168" t="s">
        <v>90</v>
      </c>
      <c r="G4" s="168" t="s">
        <v>91</v>
      </c>
      <c r="H4" s="168" t="s">
        <v>91</v>
      </c>
      <c r="I4" s="168" t="s">
        <v>92</v>
      </c>
      <c r="J4" s="168" t="s">
        <v>93</v>
      </c>
      <c r="K4" s="168" t="s">
        <v>90</v>
      </c>
      <c r="L4" s="168" t="s">
        <v>91</v>
      </c>
      <c r="M4" s="168" t="s">
        <v>91</v>
      </c>
      <c r="N4" s="168" t="s">
        <v>92</v>
      </c>
      <c r="O4" s="168" t="s">
        <v>93</v>
      </c>
      <c r="P4" s="168" t="s">
        <v>90</v>
      </c>
      <c r="Q4" s="168" t="s">
        <v>91</v>
      </c>
      <c r="R4" s="168" t="s">
        <v>91</v>
      </c>
      <c r="S4" s="168" t="s">
        <v>92</v>
      </c>
      <c r="T4" s="168" t="s">
        <v>93</v>
      </c>
      <c r="U4" s="168" t="s">
        <v>90</v>
      </c>
      <c r="V4" s="168" t="s">
        <v>91</v>
      </c>
      <c r="W4" s="594" t="s">
        <v>91</v>
      </c>
      <c r="X4" s="168" t="s">
        <v>92</v>
      </c>
      <c r="Y4" s="168" t="s">
        <v>93</v>
      </c>
      <c r="Z4" s="168" t="s">
        <v>90</v>
      </c>
      <c r="AA4" s="168" t="s">
        <v>91</v>
      </c>
      <c r="AB4" s="594" t="s">
        <v>91</v>
      </c>
      <c r="AC4" s="168" t="s">
        <v>92</v>
      </c>
      <c r="AD4" s="168" t="s">
        <v>93</v>
      </c>
      <c r="AE4" s="168" t="s">
        <v>90</v>
      </c>
      <c r="AF4" s="168" t="s">
        <v>91</v>
      </c>
      <c r="AG4" s="594" t="s">
        <v>91</v>
      </c>
      <c r="AH4" s="168" t="s">
        <v>92</v>
      </c>
      <c r="AI4" s="168" t="s">
        <v>93</v>
      </c>
      <c r="AJ4" s="168" t="s">
        <v>90</v>
      </c>
      <c r="AK4" s="168" t="s">
        <v>91</v>
      </c>
      <c r="AL4" s="594" t="s">
        <v>91</v>
      </c>
      <c r="AM4" s="168" t="s">
        <v>92</v>
      </c>
      <c r="AN4" s="463" t="s">
        <v>93</v>
      </c>
      <c r="AO4" s="463" t="s">
        <v>90</v>
      </c>
      <c r="AP4" s="168" t="s">
        <v>91</v>
      </c>
      <c r="AQ4" s="594" t="s">
        <v>91</v>
      </c>
      <c r="AR4" s="168" t="s">
        <v>92</v>
      </c>
      <c r="AS4" s="463" t="s">
        <v>93</v>
      </c>
      <c r="AT4" s="463" t="s">
        <v>90</v>
      </c>
      <c r="AU4" s="168" t="s">
        <v>91</v>
      </c>
      <c r="AV4" s="594" t="s">
        <v>91</v>
      </c>
      <c r="AW4" s="168" t="s">
        <v>92</v>
      </c>
      <c r="AX4" s="168" t="s">
        <v>93</v>
      </c>
      <c r="AY4" s="168" t="s">
        <v>90</v>
      </c>
      <c r="AZ4" s="168" t="s">
        <v>91</v>
      </c>
      <c r="BA4" s="594" t="s">
        <v>91</v>
      </c>
      <c r="BB4" s="168" t="s">
        <v>92</v>
      </c>
      <c r="BC4" s="168" t="s">
        <v>93</v>
      </c>
      <c r="BD4" s="168" t="s">
        <v>90</v>
      </c>
      <c r="BE4" s="168" t="s">
        <v>91</v>
      </c>
      <c r="BF4" s="594" t="s">
        <v>91</v>
      </c>
      <c r="BG4" s="168" t="s">
        <v>92</v>
      </c>
      <c r="BH4" s="168" t="s">
        <v>93</v>
      </c>
      <c r="BI4" s="168" t="s">
        <v>90</v>
      </c>
      <c r="BJ4" s="168" t="s">
        <v>91</v>
      </c>
      <c r="BK4" s="594" t="s">
        <v>91</v>
      </c>
      <c r="BL4" s="168" t="s">
        <v>92</v>
      </c>
      <c r="BM4" s="168" t="s">
        <v>93</v>
      </c>
      <c r="BN4" s="168" t="s">
        <v>90</v>
      </c>
      <c r="BO4" s="168" t="s">
        <v>91</v>
      </c>
      <c r="BP4" s="594" t="s">
        <v>91</v>
      </c>
      <c r="BQ4" s="168" t="s">
        <v>92</v>
      </c>
      <c r="BR4" s="168" t="s">
        <v>93</v>
      </c>
      <c r="BS4" s="168" t="s">
        <v>90</v>
      </c>
      <c r="BT4" s="168" t="s">
        <v>91</v>
      </c>
      <c r="BU4" s="594" t="s">
        <v>91</v>
      </c>
      <c r="BV4" s="168" t="s">
        <v>92</v>
      </c>
      <c r="BW4" s="168" t="s">
        <v>93</v>
      </c>
      <c r="BX4" s="168" t="s">
        <v>90</v>
      </c>
      <c r="BY4" s="168" t="s">
        <v>91</v>
      </c>
      <c r="BZ4" s="594" t="s">
        <v>91</v>
      </c>
      <c r="CA4" s="168" t="s">
        <v>92</v>
      </c>
      <c r="CB4" s="168" t="s">
        <v>93</v>
      </c>
      <c r="CC4" s="168" t="s">
        <v>90</v>
      </c>
      <c r="CD4" s="168" t="s">
        <v>91</v>
      </c>
      <c r="CE4" s="594" t="s">
        <v>91</v>
      </c>
    </row>
    <row r="5" spans="1:83" ht="13.15">
      <c r="B5" s="291"/>
      <c r="C5" s="166"/>
      <c r="D5" s="168" t="str">
        <f>+BS!D5</f>
        <v>2012A</v>
      </c>
      <c r="E5" s="168" t="str">
        <f>+BS!E5</f>
        <v>2012A</v>
      </c>
      <c r="F5" s="168" t="str">
        <f>+BS!F5</f>
        <v>2012A</v>
      </c>
      <c r="G5" s="168" t="str">
        <f>+BS!G5</f>
        <v>2012A</v>
      </c>
      <c r="H5" s="168" t="str">
        <f>+BS!H5</f>
        <v>2012A</v>
      </c>
      <c r="I5" s="168" t="str">
        <f>+BS!I5</f>
        <v>2013A</v>
      </c>
      <c r="J5" s="168" t="str">
        <f>+BS!J5</f>
        <v>2013A</v>
      </c>
      <c r="K5" s="168" t="str">
        <f>+BS!K5</f>
        <v>2013A</v>
      </c>
      <c r="L5" s="168" t="str">
        <f>+BS!L5</f>
        <v>2013A</v>
      </c>
      <c r="M5" s="168" t="str">
        <f>+BS!M5</f>
        <v>2013A</v>
      </c>
      <c r="N5" s="168" t="str">
        <f>+BS!N5</f>
        <v>2014A</v>
      </c>
      <c r="O5" s="168" t="str">
        <f>+BS!O5</f>
        <v>2014A</v>
      </c>
      <c r="P5" s="168" t="str">
        <f>+BS!P5</f>
        <v>2014A</v>
      </c>
      <c r="Q5" s="168" t="str">
        <f>+BS!Q5</f>
        <v>2014A</v>
      </c>
      <c r="R5" s="168" t="str">
        <f>+BS!R5</f>
        <v>2014A</v>
      </c>
      <c r="S5" s="168" t="str">
        <f>+BS!S5</f>
        <v>2015A</v>
      </c>
      <c r="T5" s="168" t="str">
        <f>+BS!T5</f>
        <v>2015A</v>
      </c>
      <c r="U5" s="168" t="str">
        <f>+BS!U5</f>
        <v>2015A</v>
      </c>
      <c r="V5" s="168" t="str">
        <f>+BS!V5</f>
        <v>2015A</v>
      </c>
      <c r="W5" s="594" t="str">
        <f>+BS!W5</f>
        <v>2015A</v>
      </c>
      <c r="X5" s="168" t="str">
        <f>+BS!X5</f>
        <v>2016A</v>
      </c>
      <c r="Y5" s="168" t="str">
        <f>+BS!Y5</f>
        <v>2016A</v>
      </c>
      <c r="Z5" s="168" t="str">
        <f>+BS!Z5</f>
        <v>2016A</v>
      </c>
      <c r="AA5" s="168" t="str">
        <f>+BS!AA5</f>
        <v>2016A</v>
      </c>
      <c r="AB5" s="594" t="str">
        <f>+BS!AB5</f>
        <v>2016A</v>
      </c>
      <c r="AC5" s="168" t="str">
        <f>+BS!AC5</f>
        <v>2017A</v>
      </c>
      <c r="AD5" s="168" t="str">
        <f>+BS!AD5</f>
        <v>2017A</v>
      </c>
      <c r="AE5" s="168" t="str">
        <f>+BS!AE5</f>
        <v>2017A</v>
      </c>
      <c r="AF5" s="168" t="str">
        <f>+BS!AF5</f>
        <v>2017A</v>
      </c>
      <c r="AG5" s="594" t="str">
        <f>+BS!AG5</f>
        <v>2017A</v>
      </c>
      <c r="AH5" s="168" t="str">
        <f>+BS!AH5</f>
        <v>2018A</v>
      </c>
      <c r="AI5" s="168" t="str">
        <f>+BS!AI5</f>
        <v>2018A</v>
      </c>
      <c r="AJ5" s="168" t="str">
        <f>+BS!AJ5</f>
        <v>2018A</v>
      </c>
      <c r="AK5" s="168" t="str">
        <f>+BS!AK5</f>
        <v>2018A</v>
      </c>
      <c r="AL5" s="594" t="str">
        <f>+BS!AL5</f>
        <v>2018A</v>
      </c>
      <c r="AM5" s="168" t="str">
        <f>+BS!AM5</f>
        <v>2019A</v>
      </c>
      <c r="AN5" s="463" t="str">
        <f>+BS!AN5</f>
        <v>2019A</v>
      </c>
      <c r="AO5" s="463" t="str">
        <f>+BS!AO5</f>
        <v>2019A</v>
      </c>
      <c r="AP5" s="168" t="str">
        <f>+BS!AP5</f>
        <v>2019A</v>
      </c>
      <c r="AQ5" s="594" t="str">
        <f>+BS!AQ5</f>
        <v>2019A</v>
      </c>
      <c r="AR5" s="168" t="str">
        <f>+BS!AR5</f>
        <v>2020A</v>
      </c>
      <c r="AS5" s="463" t="str">
        <f>+BS!AS5</f>
        <v>2020A</v>
      </c>
      <c r="AT5" s="463" t="str">
        <f>+BS!AT5</f>
        <v>2020A</v>
      </c>
      <c r="AU5" s="168" t="str">
        <f>+BS!AU5</f>
        <v>2020A</v>
      </c>
      <c r="AV5" s="594" t="str">
        <f>+BS!AV5</f>
        <v>2020A</v>
      </c>
      <c r="AW5" s="168" t="str">
        <f>+BS!AW5</f>
        <v>2021A</v>
      </c>
      <c r="AX5" s="168" t="str">
        <f>+BS!AX5</f>
        <v>2021A</v>
      </c>
      <c r="AY5" s="168" t="str">
        <f>+BS!AY5</f>
        <v>2021A</v>
      </c>
      <c r="AZ5" s="168" t="str">
        <f>+BS!AZ5</f>
        <v>2021A</v>
      </c>
      <c r="BA5" s="594" t="str">
        <f>+BS!BA5</f>
        <v>2021A</v>
      </c>
      <c r="BB5" s="168" t="str">
        <f>+BS!BB5</f>
        <v>2022A</v>
      </c>
      <c r="BC5" s="168" t="str">
        <f>+BS!BC5</f>
        <v>2022A</v>
      </c>
      <c r="BD5" s="168" t="str">
        <f>+BS!BD5</f>
        <v>2022A</v>
      </c>
      <c r="BE5" s="168" t="str">
        <f>+BS!BE5</f>
        <v>2022A</v>
      </c>
      <c r="BF5" s="594" t="str">
        <f>+BS!BF5</f>
        <v>2022A</v>
      </c>
      <c r="BG5" s="168" t="str">
        <f>+BS!BG5</f>
        <v>2023A</v>
      </c>
      <c r="BH5" s="168" t="str">
        <f>+BS!BH5</f>
        <v>2023A</v>
      </c>
      <c r="BI5" s="168" t="str">
        <f>+BS!BI5</f>
        <v>2023A</v>
      </c>
      <c r="BJ5" s="168" t="str">
        <f>+BS!BJ5</f>
        <v>2023A</v>
      </c>
      <c r="BK5" s="594" t="str">
        <f>+BS!BK5</f>
        <v>2023A</v>
      </c>
      <c r="BL5" s="168" t="str">
        <f>+BS!BL5</f>
        <v>2024A</v>
      </c>
      <c r="BM5" s="168" t="str">
        <f>+BS!BM5</f>
        <v>2024A</v>
      </c>
      <c r="BN5" s="168" t="str">
        <f>+BS!BN5</f>
        <v>2024A</v>
      </c>
      <c r="BO5" s="168" t="str">
        <f>+BS!BO5</f>
        <v>2024A</v>
      </c>
      <c r="BP5" s="594" t="str">
        <f>+BS!BP5</f>
        <v>2024A</v>
      </c>
      <c r="BQ5" s="168" t="str">
        <f>+BS!BQ5</f>
        <v>2025A</v>
      </c>
      <c r="BR5" s="168" t="str">
        <f>+BS!BR5</f>
        <v>2025A</v>
      </c>
      <c r="BS5" s="168" t="str">
        <f>+BS!BS5</f>
        <v>2025A</v>
      </c>
      <c r="BT5" s="168" t="str">
        <f>+BS!BT5</f>
        <v>2025A</v>
      </c>
      <c r="BU5" s="594" t="str">
        <f>+BS!BU5</f>
        <v>2025A</v>
      </c>
      <c r="BV5" s="168" t="str">
        <f>+BS!BV5</f>
        <v>2026E</v>
      </c>
      <c r="BW5" s="168" t="str">
        <f>+BS!BW5</f>
        <v>2026E</v>
      </c>
      <c r="BX5" s="168" t="str">
        <f>+BS!BX5</f>
        <v>2026E</v>
      </c>
      <c r="BY5" s="168" t="str">
        <f>+BS!BY5</f>
        <v>2026E</v>
      </c>
      <c r="BZ5" s="594" t="str">
        <f>+BS!BZ5</f>
        <v>2026E</v>
      </c>
      <c r="CA5" s="168" t="str">
        <f>+BS!CA5</f>
        <v>2027E</v>
      </c>
      <c r="CB5" s="168" t="str">
        <f>+BS!CB5</f>
        <v>2027E</v>
      </c>
      <c r="CC5" s="168" t="str">
        <f>+BS!CC5</f>
        <v>2027E</v>
      </c>
      <c r="CD5" s="168" t="str">
        <f>+BS!CD5</f>
        <v>2027E</v>
      </c>
      <c r="CE5" s="594" t="str">
        <f>+BS!CE5</f>
        <v>2027E</v>
      </c>
    </row>
    <row r="6" spans="1:83" ht="13.15">
      <c r="B6" s="292" t="s">
        <v>223</v>
      </c>
      <c r="C6" s="170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595"/>
      <c r="X6" s="166"/>
      <c r="Y6" s="166"/>
      <c r="Z6" s="166"/>
      <c r="AA6" s="166"/>
      <c r="AB6" s="595"/>
      <c r="AC6" s="166"/>
      <c r="AD6" s="166"/>
      <c r="AE6" s="166"/>
      <c r="AF6" s="166"/>
      <c r="AG6" s="595"/>
      <c r="AH6" s="166"/>
      <c r="AI6" s="166"/>
      <c r="AJ6" s="166"/>
      <c r="AK6" s="166"/>
      <c r="AL6" s="595"/>
      <c r="AM6" s="166"/>
      <c r="AN6" s="464"/>
      <c r="AO6" s="464"/>
      <c r="AP6" s="166"/>
      <c r="AQ6" s="595"/>
      <c r="AR6" s="166"/>
      <c r="AS6" s="464"/>
      <c r="AT6" s="464"/>
      <c r="AU6" s="166"/>
      <c r="AV6" s="595"/>
      <c r="AW6" s="166"/>
      <c r="AX6" s="166"/>
      <c r="AY6" s="166"/>
      <c r="AZ6" s="166"/>
      <c r="BA6" s="595"/>
      <c r="BB6" s="166"/>
      <c r="BC6" s="166"/>
      <c r="BD6" s="166"/>
      <c r="BE6" s="166"/>
      <c r="BF6" s="595"/>
      <c r="BG6" s="166"/>
      <c r="BH6" s="166"/>
      <c r="BI6" s="166"/>
      <c r="BJ6" s="166"/>
      <c r="BK6" s="595"/>
      <c r="BL6" s="166"/>
      <c r="BM6" s="166"/>
      <c r="BN6" s="166"/>
      <c r="BO6" s="166"/>
      <c r="BP6" s="595"/>
      <c r="BQ6" s="166"/>
      <c r="BR6" s="166"/>
      <c r="BS6" s="166"/>
      <c r="BT6" s="166"/>
      <c r="BU6" s="595"/>
      <c r="BV6" s="166"/>
      <c r="BW6" s="166"/>
      <c r="BX6" s="166"/>
      <c r="BY6" s="166"/>
      <c r="BZ6" s="595"/>
      <c r="CA6" s="166"/>
      <c r="CB6" s="166"/>
      <c r="CC6" s="166"/>
      <c r="CD6" s="166"/>
      <c r="CE6" s="595"/>
    </row>
    <row r="7" spans="1:83" ht="12.75">
      <c r="A7" s="3" t="s">
        <v>353</v>
      </c>
      <c r="B7" s="175" t="s">
        <v>306</v>
      </c>
      <c r="C7" s="383"/>
      <c r="D7" s="383"/>
      <c r="E7" s="383"/>
      <c r="F7" s="383"/>
      <c r="G7" s="383"/>
      <c r="H7" s="383">
        <v>2280</v>
      </c>
      <c r="I7" s="383"/>
      <c r="J7" s="383"/>
      <c r="K7" s="383"/>
      <c r="L7" s="383"/>
      <c r="M7" s="383">
        <v>1624</v>
      </c>
      <c r="N7" s="383">
        <v>-440</v>
      </c>
      <c r="O7" s="383">
        <v>1706</v>
      </c>
      <c r="P7" s="383">
        <v>3208</v>
      </c>
      <c r="Q7" s="383">
        <v>25770</v>
      </c>
      <c r="R7" s="383">
        <v>30244</v>
      </c>
      <c r="S7" s="383">
        <v>3002</v>
      </c>
      <c r="T7" s="383">
        <v>3316</v>
      </c>
      <c r="U7" s="383">
        <v>4123</v>
      </c>
      <c r="V7" s="383">
        <v>5424</v>
      </c>
      <c r="W7" s="559">
        <v>15865</v>
      </c>
      <c r="X7" s="383">
        <v>4783</v>
      </c>
      <c r="Y7" s="383">
        <v>3538</v>
      </c>
      <c r="Z7" s="383">
        <v>4996</v>
      </c>
      <c r="AA7" s="383">
        <v>5907</v>
      </c>
      <c r="AB7" s="559">
        <v>19224</v>
      </c>
      <c r="AC7" s="383">
        <v>21930</v>
      </c>
      <c r="AD7" s="383">
        <f>29132-AC7</f>
        <v>7202</v>
      </c>
      <c r="AE7" s="383">
        <f>37584-AD7-AC7</f>
        <v>8452</v>
      </c>
      <c r="AF7" s="383">
        <f>+AG7-SUM(AC7:AE7)</f>
        <v>2856</v>
      </c>
      <c r="AG7" s="559">
        <v>40440</v>
      </c>
      <c r="AH7" s="383">
        <v>9142</v>
      </c>
      <c r="AI7" s="383">
        <f>19435-AH7</f>
        <v>10293</v>
      </c>
      <c r="AJ7" s="383">
        <f>42904-AI7-AH7</f>
        <v>23469</v>
      </c>
      <c r="AK7" s="383">
        <f t="shared" ref="AK7:AK25" si="0">+AL7-SUM(AH7:AJ7)</f>
        <v>14400</v>
      </c>
      <c r="AL7" s="559">
        <v>57304</v>
      </c>
      <c r="AM7" s="383">
        <v>13266</v>
      </c>
      <c r="AN7" s="383">
        <v>16232</v>
      </c>
      <c r="AO7" s="182">
        <v>19174</v>
      </c>
      <c r="AP7" s="383">
        <v>20664</v>
      </c>
      <c r="AQ7" s="559">
        <f t="shared" ref="AQ7:AQ25" si="1">+SUM(AM7:AP7)</f>
        <v>69336</v>
      </c>
      <c r="AR7" s="663">
        <v>18694</v>
      </c>
      <c r="AS7" s="663">
        <v>26319</v>
      </c>
      <c r="AT7" s="663">
        <v>22743</v>
      </c>
      <c r="AU7" s="383">
        <f>91572-AR7-AS7-AT7</f>
        <v>23816</v>
      </c>
      <c r="AV7" s="559">
        <f t="shared" ref="AV7:AV25" si="2">+SUM(AR7:AU7)</f>
        <v>91572</v>
      </c>
      <c r="AW7" s="383">
        <f>228</f>
        <v>228</v>
      </c>
      <c r="AX7" s="383">
        <f>21370-AW7</f>
        <v>21142</v>
      </c>
      <c r="AY7" s="383">
        <f>49139-AW7-AX7</f>
        <v>27769</v>
      </c>
      <c r="AZ7" s="383">
        <f>BA7-AY7-AX7-AW7</f>
        <v>21821</v>
      </c>
      <c r="BA7" s="559">
        <f>70960</f>
        <v>70960</v>
      </c>
      <c r="BB7" s="383">
        <f>25410</f>
        <v>25410</v>
      </c>
      <c r="BC7" s="383">
        <f>52006-BB7</f>
        <v>26596</v>
      </c>
      <c r="BD7" s="383">
        <f>79666-BB7-BC7</f>
        <v>27660</v>
      </c>
      <c r="BE7" s="383">
        <f>BF7-SUM(BB7:BD7)</f>
        <v>28326</v>
      </c>
      <c r="BF7" s="559">
        <f>107992</f>
        <v>107992</v>
      </c>
      <c r="BG7" s="383">
        <f>29105</f>
        <v>29105</v>
      </c>
      <c r="BH7" s="383">
        <f>64487-BG7</f>
        <v>35382</v>
      </c>
      <c r="BI7" s="383">
        <f>111002-BH7-BG7</f>
        <v>46515</v>
      </c>
      <c r="BJ7" s="383">
        <f>BK7-BI7-BH7-BG7</f>
        <v>40593</v>
      </c>
      <c r="BK7" s="559">
        <f>151595</f>
        <v>151595</v>
      </c>
      <c r="BL7" s="383">
        <f>39731</f>
        <v>39731</v>
      </c>
      <c r="BM7" s="383">
        <f>83503-BL7</f>
        <v>43772</v>
      </c>
      <c r="BN7" s="383">
        <f>129715-BM7-BL7</f>
        <v>46212</v>
      </c>
      <c r="BO7" s="383">
        <f>BP7-BN7-BM7-BL7</f>
        <v>43965</v>
      </c>
      <c r="BP7" s="559">
        <f>173680</f>
        <v>173680</v>
      </c>
      <c r="BQ7" s="383">
        <f>+'Billings &amp; Recs'!BQ77</f>
        <v>47534</v>
      </c>
      <c r="BR7" s="383">
        <f>+'Billings &amp; Recs'!BR77</f>
        <v>47290</v>
      </c>
      <c r="BS7" s="383">
        <f>+'Billings &amp; Recs'!BS77</f>
        <v>50346</v>
      </c>
      <c r="BT7" s="383">
        <f>+'Billings &amp; Recs'!BT77</f>
        <v>53150</v>
      </c>
      <c r="BU7" s="559">
        <f>+'Billings &amp; Recs'!BU77</f>
        <v>198320</v>
      </c>
      <c r="BV7" s="383">
        <f>+'Billings &amp; Recs'!BV77</f>
        <v>48846.472316500003</v>
      </c>
      <c r="BW7" s="383">
        <f>+'Billings &amp; Recs'!BW77</f>
        <v>47851.065341000023</v>
      </c>
      <c r="BX7" s="383">
        <f>+'Billings &amp; Recs'!BX77</f>
        <v>49884.489430949987</v>
      </c>
      <c r="BY7" s="383">
        <f>+'Billings &amp; Recs'!BY77</f>
        <v>50179.794426612505</v>
      </c>
      <c r="BZ7" s="559">
        <f>+'Billings &amp; Recs'!BZ77</f>
        <v>196761.82151506256</v>
      </c>
      <c r="CA7" s="383">
        <f>+'Billings &amp; Recs'!CA77</f>
        <v>51879.820080653102</v>
      </c>
      <c r="CB7" s="383">
        <f>+'Billings &amp; Recs'!CB77</f>
        <v>53147.354779798763</v>
      </c>
      <c r="CC7" s="383">
        <f>+'Billings &amp; Recs'!CC77</f>
        <v>55564.461835468217</v>
      </c>
      <c r="CD7" s="383">
        <f>+'Billings &amp; Recs'!CD77</f>
        <v>59342.362348185481</v>
      </c>
      <c r="CE7" s="559">
        <f>+'Billings &amp; Recs'!CE77</f>
        <v>219933.99904410556</v>
      </c>
    </row>
    <row r="8" spans="1:83" ht="12.75">
      <c r="A8" s="3" t="s">
        <v>353</v>
      </c>
      <c r="B8" s="175" t="s">
        <v>301</v>
      </c>
      <c r="C8" s="166"/>
      <c r="D8" s="183"/>
      <c r="E8" s="183"/>
      <c r="F8" s="183"/>
      <c r="G8" s="183"/>
      <c r="H8" s="182">
        <v>7341</v>
      </c>
      <c r="I8" s="183"/>
      <c r="J8" s="183"/>
      <c r="K8" s="183"/>
      <c r="L8" s="183"/>
      <c r="M8" s="182">
        <v>9612</v>
      </c>
      <c r="N8" s="182">
        <v>2805</v>
      </c>
      <c r="O8" s="182">
        <v>2977</v>
      </c>
      <c r="P8" s="182">
        <v>3044</v>
      </c>
      <c r="Q8" s="182">
        <v>3071</v>
      </c>
      <c r="R8" s="182">
        <v>11897</v>
      </c>
      <c r="S8" s="182">
        <v>3182</v>
      </c>
      <c r="T8" s="182">
        <v>3404</v>
      </c>
      <c r="U8" s="182">
        <v>3838</v>
      </c>
      <c r="V8" s="182">
        <v>3936</v>
      </c>
      <c r="W8" s="562">
        <v>14360</v>
      </c>
      <c r="X8" s="182">
        <v>3834</v>
      </c>
      <c r="Y8" s="182">
        <v>3994</v>
      </c>
      <c r="Z8" s="182">
        <v>4536</v>
      </c>
      <c r="AA8" s="182">
        <v>4630</v>
      </c>
      <c r="AB8" s="562">
        <v>16994</v>
      </c>
      <c r="AC8" s="182">
        <v>4820</v>
      </c>
      <c r="AD8" s="182">
        <f>9783-AC8</f>
        <v>4963</v>
      </c>
      <c r="AE8" s="182">
        <f>15054-AD8-AC8</f>
        <v>5271</v>
      </c>
      <c r="AF8" s="182">
        <f>+AG8-SUM(AC8:AE8)</f>
        <v>5582</v>
      </c>
      <c r="AG8" s="562">
        <v>20636</v>
      </c>
      <c r="AH8" s="182">
        <v>7043</v>
      </c>
      <c r="AI8" s="182">
        <f>14249-AH8</f>
        <v>7206</v>
      </c>
      <c r="AJ8" s="182">
        <f>21224-AI8-AH8</f>
        <v>6975</v>
      </c>
      <c r="AK8" s="182">
        <f t="shared" si="0"/>
        <v>7681</v>
      </c>
      <c r="AL8" s="562">
        <v>28905</v>
      </c>
      <c r="AM8" s="182">
        <v>7935</v>
      </c>
      <c r="AN8" s="182">
        <v>7874</v>
      </c>
      <c r="AO8" s="182">
        <v>7677</v>
      </c>
      <c r="AP8" s="182">
        <v>7715</v>
      </c>
      <c r="AQ8" s="562">
        <f t="shared" si="1"/>
        <v>31201</v>
      </c>
      <c r="AR8" s="465">
        <v>7747</v>
      </c>
      <c r="AS8" s="465">
        <v>7886</v>
      </c>
      <c r="AT8" s="465">
        <v>8342</v>
      </c>
      <c r="AU8" s="182">
        <f>32845-AR8-AS8-AT8</f>
        <v>8870</v>
      </c>
      <c r="AV8" s="562">
        <f t="shared" si="2"/>
        <v>32845</v>
      </c>
      <c r="AW8" s="182">
        <f>9078</f>
        <v>9078</v>
      </c>
      <c r="AX8" s="182">
        <f>17869-AW8</f>
        <v>8791</v>
      </c>
      <c r="AY8" s="182">
        <f>26752-AW8-AX8</f>
        <v>8883</v>
      </c>
      <c r="AZ8" s="182">
        <f t="shared" ref="AZ8:AZ23" si="3">BA8-AY8-AX8-AW8</f>
        <v>9145</v>
      </c>
      <c r="BA8" s="562">
        <f>35897</f>
        <v>35897</v>
      </c>
      <c r="BB8" s="182">
        <f>8982</f>
        <v>8982</v>
      </c>
      <c r="BC8" s="182">
        <f>17552-BB8</f>
        <v>8570</v>
      </c>
      <c r="BD8" s="182">
        <f>25773-BC8-BB8</f>
        <v>8221</v>
      </c>
      <c r="BE8" s="182">
        <f t="shared" ref="BE8:BE25" si="4">BF8-SUM(BB8:BD8)</f>
        <v>8849</v>
      </c>
      <c r="BF8" s="732">
        <f>34622</f>
        <v>34622</v>
      </c>
      <c r="BG8" s="733">
        <f>7444</f>
        <v>7444</v>
      </c>
      <c r="BH8" s="733">
        <f>14446-BG8</f>
        <v>7002</v>
      </c>
      <c r="BI8" s="733">
        <f>21140-BH8-BG8</f>
        <v>6694</v>
      </c>
      <c r="BJ8" s="733">
        <f t="shared" ref="BJ8:BJ25" si="5">BK8-BI8-BH8-BG8</f>
        <v>5851</v>
      </c>
      <c r="BK8" s="732">
        <f>26991</f>
        <v>26991</v>
      </c>
      <c r="BL8" s="733">
        <f>5239</f>
        <v>5239</v>
      </c>
      <c r="BM8" s="733">
        <f>10019-BL8</f>
        <v>4780</v>
      </c>
      <c r="BN8" s="733">
        <f>14410-BM8-BL8</f>
        <v>4391</v>
      </c>
      <c r="BO8" s="733">
        <f t="shared" ref="BO8:BO25" si="6">BP8-BN8-BM8-BL8</f>
        <v>4103</v>
      </c>
      <c r="BP8" s="732">
        <f>18513</f>
        <v>18513</v>
      </c>
      <c r="BQ8" s="733">
        <f>4177</f>
        <v>4177</v>
      </c>
      <c r="BR8" s="733">
        <f>8155-BQ8</f>
        <v>3978</v>
      </c>
      <c r="BS8" s="733">
        <f>11353-SUM(BQ8:BR8)</f>
        <v>3198</v>
      </c>
      <c r="BT8" s="733">
        <f>14491-BS8-BR8-BQ8</f>
        <v>3138</v>
      </c>
      <c r="BU8" s="732">
        <f t="shared" ref="BU8:BU10" si="7">+SUM(BQ8:BT8)</f>
        <v>14491</v>
      </c>
      <c r="BV8" s="733">
        <f>+'Billings &amp; Recs'!BV81</f>
        <v>4113.1499999999996</v>
      </c>
      <c r="BW8" s="733">
        <f>+'Billings &amp; Recs'!BW81</f>
        <v>3782.4366847499991</v>
      </c>
      <c r="BX8" s="733">
        <f>+'Billings &amp; Recs'!BX81</f>
        <v>2562.8731030250001</v>
      </c>
      <c r="BY8" s="733">
        <f>+'Billings &amp; Recs'!BY81</f>
        <v>2557.4637364724999</v>
      </c>
      <c r="BZ8" s="732">
        <f>+'Billings &amp; Recs'!BZ81</f>
        <v>13015.923524247499</v>
      </c>
      <c r="CA8" s="733">
        <f>+'Billings &amp; Recs'!CA81</f>
        <v>3789.641648300375</v>
      </c>
      <c r="CB8" s="733">
        <f>+'Billings &amp; Recs'!CB81</f>
        <v>3480.0385074178184</v>
      </c>
      <c r="CC8" s="733">
        <f>+'Billings &amp; Recs'!CC81</f>
        <v>2636.5800642841164</v>
      </c>
      <c r="CD8" s="733">
        <f>+'Billings &amp; Recs'!CD81</f>
        <v>2529.742664650023</v>
      </c>
      <c r="CE8" s="732">
        <f>+'Billings &amp; Recs'!CE81</f>
        <v>12436.002884652335</v>
      </c>
    </row>
    <row r="9" spans="1:83" ht="12.75">
      <c r="B9" s="175" t="s">
        <v>307</v>
      </c>
      <c r="C9" s="166"/>
      <c r="D9" s="183"/>
      <c r="E9" s="183"/>
      <c r="F9" s="183"/>
      <c r="G9" s="183"/>
      <c r="H9" s="182">
        <v>218</v>
      </c>
      <c r="I9" s="183"/>
      <c r="J9" s="183"/>
      <c r="K9" s="183"/>
      <c r="L9" s="183"/>
      <c r="M9" s="182">
        <v>307</v>
      </c>
      <c r="N9" s="182">
        <v>14</v>
      </c>
      <c r="O9" s="182">
        <v>139</v>
      </c>
      <c r="P9" s="182">
        <v>193</v>
      </c>
      <c r="Q9" s="182">
        <v>124</v>
      </c>
      <c r="R9" s="182">
        <v>470</v>
      </c>
      <c r="S9" s="182">
        <v>175</v>
      </c>
      <c r="T9" s="182">
        <v>158</v>
      </c>
      <c r="U9" s="182">
        <v>296</v>
      </c>
      <c r="V9" s="182">
        <v>222</v>
      </c>
      <c r="W9" s="562">
        <v>851</v>
      </c>
      <c r="X9" s="182">
        <v>80</v>
      </c>
      <c r="Y9" s="182">
        <v>26</v>
      </c>
      <c r="Z9" s="182">
        <v>46</v>
      </c>
      <c r="AA9" s="182">
        <v>47</v>
      </c>
      <c r="AB9" s="562">
        <v>199</v>
      </c>
      <c r="AC9" s="182">
        <v>10</v>
      </c>
      <c r="AD9" s="182">
        <f>296-AC9</f>
        <v>286</v>
      </c>
      <c r="AE9" s="182">
        <f>353-AD9-AC9</f>
        <v>57</v>
      </c>
      <c r="AF9" s="182">
        <f t="shared" ref="AF9:AF25" si="8">+AG9-SUM(AC9:AE9)</f>
        <v>304</v>
      </c>
      <c r="AG9" s="562">
        <v>657</v>
      </c>
      <c r="AH9" s="182">
        <v>0</v>
      </c>
      <c r="AI9" s="182">
        <v>0</v>
      </c>
      <c r="AJ9" s="182">
        <v>0</v>
      </c>
      <c r="AK9" s="182">
        <f t="shared" si="0"/>
        <v>86</v>
      </c>
      <c r="AL9" s="562">
        <v>86</v>
      </c>
      <c r="AM9" s="182">
        <v>0</v>
      </c>
      <c r="AN9" s="182">
        <v>86</v>
      </c>
      <c r="AO9" s="182">
        <v>70</v>
      </c>
      <c r="AP9" s="182">
        <v>91</v>
      </c>
      <c r="AQ9" s="562">
        <f t="shared" si="1"/>
        <v>247</v>
      </c>
      <c r="AR9" s="465">
        <v>148</v>
      </c>
      <c r="AS9" s="465">
        <v>151</v>
      </c>
      <c r="AT9" s="182">
        <v>93</v>
      </c>
      <c r="AU9" s="182">
        <f>486-AR9-AS9-AT9</f>
        <v>94</v>
      </c>
      <c r="AV9" s="562">
        <f t="shared" si="2"/>
        <v>486</v>
      </c>
      <c r="AW9" s="182">
        <f>138</f>
        <v>138</v>
      </c>
      <c r="AX9" s="182">
        <f>152-AW9</f>
        <v>14</v>
      </c>
      <c r="AY9" s="182">
        <f>247-AW9-AX9</f>
        <v>95</v>
      </c>
      <c r="AZ9" s="182">
        <f t="shared" si="3"/>
        <v>155</v>
      </c>
      <c r="BA9" s="562">
        <f>402</f>
        <v>402</v>
      </c>
      <c r="BB9" s="182">
        <f>141</f>
        <v>141</v>
      </c>
      <c r="BC9" s="182">
        <f>297-BB9</f>
        <v>156</v>
      </c>
      <c r="BD9" s="182">
        <f>493-BC9-BB9</f>
        <v>196</v>
      </c>
      <c r="BE9" s="182">
        <f t="shared" si="4"/>
        <v>97</v>
      </c>
      <c r="BF9" s="732">
        <f>590</f>
        <v>590</v>
      </c>
      <c r="BG9" s="733">
        <f>119</f>
        <v>119</v>
      </c>
      <c r="BH9" s="733">
        <f>160-BG9</f>
        <v>41</v>
      </c>
      <c r="BI9" s="733">
        <f>230-BH9-BG9</f>
        <v>70</v>
      </c>
      <c r="BJ9" s="733">
        <f t="shared" si="5"/>
        <v>317</v>
      </c>
      <c r="BK9" s="732">
        <f>547</f>
        <v>547</v>
      </c>
      <c r="BL9" s="733">
        <f>193</f>
        <v>193</v>
      </c>
      <c r="BM9" s="733">
        <f>277-BL9</f>
        <v>84</v>
      </c>
      <c r="BN9" s="733">
        <f>411-BM9-BL9</f>
        <v>134</v>
      </c>
      <c r="BO9" s="733">
        <f t="shared" si="6"/>
        <v>353</v>
      </c>
      <c r="BP9" s="732">
        <f>764</f>
        <v>764</v>
      </c>
      <c r="BQ9" s="733">
        <f>206</f>
        <v>206</v>
      </c>
      <c r="BR9" s="733">
        <f>850-BQ9</f>
        <v>644</v>
      </c>
      <c r="BS9" s="733">
        <f>1110-SUM(BQ9:BR9)</f>
        <v>260</v>
      </c>
      <c r="BT9" s="733">
        <f>1226-BS9-BR9-BQ9</f>
        <v>116</v>
      </c>
      <c r="BU9" s="732">
        <f t="shared" si="7"/>
        <v>1226</v>
      </c>
      <c r="BV9" s="733">
        <f>0</f>
        <v>0</v>
      </c>
      <c r="BW9" s="733">
        <f>0</f>
        <v>0</v>
      </c>
      <c r="BX9" s="733">
        <f>0</f>
        <v>0</v>
      </c>
      <c r="BY9" s="733">
        <f>0</f>
        <v>0</v>
      </c>
      <c r="BZ9" s="732">
        <f t="shared" ref="BZ9:BZ10" si="9">+SUM(BV9:BY9)</f>
        <v>0</v>
      </c>
      <c r="CA9" s="733">
        <f>0</f>
        <v>0</v>
      </c>
      <c r="CB9" s="733">
        <f>0</f>
        <v>0</v>
      </c>
      <c r="CC9" s="733">
        <f>0</f>
        <v>0</v>
      </c>
      <c r="CD9" s="733">
        <f>0</f>
        <v>0</v>
      </c>
      <c r="CE9" s="732">
        <f t="shared" ref="CE9:CE10" si="10">+SUM(CA9:CD9)</f>
        <v>0</v>
      </c>
    </row>
    <row r="10" spans="1:83" ht="12.75">
      <c r="B10" s="175" t="s">
        <v>308</v>
      </c>
      <c r="C10" s="166"/>
      <c r="D10" s="183"/>
      <c r="E10" s="183"/>
      <c r="F10" s="183"/>
      <c r="G10" s="183"/>
      <c r="H10" s="182">
        <v>10</v>
      </c>
      <c r="I10" s="183"/>
      <c r="J10" s="183"/>
      <c r="K10" s="183"/>
      <c r="L10" s="183"/>
      <c r="M10" s="182">
        <v>12</v>
      </c>
      <c r="N10" s="182">
        <v>0</v>
      </c>
      <c r="O10" s="182">
        <v>1</v>
      </c>
      <c r="P10" s="182">
        <v>0</v>
      </c>
      <c r="Q10" s="182">
        <v>323</v>
      </c>
      <c r="R10" s="182">
        <v>324</v>
      </c>
      <c r="S10" s="182">
        <v>4</v>
      </c>
      <c r="T10" s="182">
        <v>0</v>
      </c>
      <c r="U10" s="182">
        <v>5</v>
      </c>
      <c r="V10" s="182">
        <v>-4</v>
      </c>
      <c r="W10" s="562">
        <v>5</v>
      </c>
      <c r="X10" s="182">
        <v>0</v>
      </c>
      <c r="Y10" s="182">
        <v>39</v>
      </c>
      <c r="Z10" s="182">
        <v>0</v>
      </c>
      <c r="AA10" s="182">
        <v>16</v>
      </c>
      <c r="AB10" s="562">
        <v>55</v>
      </c>
      <c r="AC10" s="182">
        <v>2</v>
      </c>
      <c r="AD10" s="182">
        <f>2-AC10</f>
        <v>0</v>
      </c>
      <c r="AE10" s="182">
        <f>3-AD10-AC10</f>
        <v>1</v>
      </c>
      <c r="AF10" s="182">
        <f t="shared" si="8"/>
        <v>158</v>
      </c>
      <c r="AG10" s="562">
        <v>161</v>
      </c>
      <c r="AH10" s="182">
        <v>7</v>
      </c>
      <c r="AI10" s="182">
        <f>9-AH10</f>
        <v>2</v>
      </c>
      <c r="AJ10" s="182">
        <f>31-AI10-AH10</f>
        <v>22</v>
      </c>
      <c r="AK10" s="182">
        <f t="shared" si="0"/>
        <v>0</v>
      </c>
      <c r="AL10" s="562">
        <v>31</v>
      </c>
      <c r="AM10" s="182">
        <v>105</v>
      </c>
      <c r="AN10" s="182">
        <v>78</v>
      </c>
      <c r="AO10" s="182">
        <v>13</v>
      </c>
      <c r="AP10" s="182">
        <v>6</v>
      </c>
      <c r="AQ10" s="562">
        <f t="shared" si="1"/>
        <v>202</v>
      </c>
      <c r="AR10" s="465">
        <v>0</v>
      </c>
      <c r="AS10" s="465">
        <v>0</v>
      </c>
      <c r="AT10" s="182">
        <v>9</v>
      </c>
      <c r="AU10" s="182">
        <f>106-AR10-AS10-AT10</f>
        <v>97</v>
      </c>
      <c r="AV10" s="562">
        <f t="shared" si="2"/>
        <v>106</v>
      </c>
      <c r="AW10" s="182">
        <f>0</f>
        <v>0</v>
      </c>
      <c r="AX10" s="182">
        <f>12-AW10</f>
        <v>12</v>
      </c>
      <c r="AY10" s="182">
        <f>12-AW10-AX10</f>
        <v>0</v>
      </c>
      <c r="AZ10" s="182">
        <f t="shared" si="3"/>
        <v>625</v>
      </c>
      <c r="BA10" s="562">
        <f>625+12</f>
        <v>637</v>
      </c>
      <c r="BB10" s="182">
        <f>5</f>
        <v>5</v>
      </c>
      <c r="BC10" s="182">
        <f>5-BB10</f>
        <v>0</v>
      </c>
      <c r="BD10" s="182">
        <f>5-BC10-BB10</f>
        <v>0</v>
      </c>
      <c r="BE10" s="182">
        <f t="shared" si="4"/>
        <v>1</v>
      </c>
      <c r="BF10" s="732">
        <v>6</v>
      </c>
      <c r="BG10" s="733">
        <v>0</v>
      </c>
      <c r="BH10" s="733">
        <v>0</v>
      </c>
      <c r="BI10" s="733">
        <v>0</v>
      </c>
      <c r="BJ10" s="733">
        <f t="shared" si="5"/>
        <v>0</v>
      </c>
      <c r="BK10" s="732">
        <f>0</f>
        <v>0</v>
      </c>
      <c r="BL10" s="733">
        <f>0</f>
        <v>0</v>
      </c>
      <c r="BM10" s="733">
        <f>0</f>
        <v>0</v>
      </c>
      <c r="BN10" s="733">
        <f>0</f>
        <v>0</v>
      </c>
      <c r="BO10" s="733">
        <f t="shared" si="6"/>
        <v>0</v>
      </c>
      <c r="BP10" s="732">
        <f>0</f>
        <v>0</v>
      </c>
      <c r="BQ10" s="733">
        <f>0</f>
        <v>0</v>
      </c>
      <c r="BR10" s="733">
        <f>0</f>
        <v>0</v>
      </c>
      <c r="BS10" s="733">
        <f>0</f>
        <v>0</v>
      </c>
      <c r="BT10" s="733">
        <f t="shared" ref="BT10:BT24" si="11">0-BS10-BR10-BQ10</f>
        <v>0</v>
      </c>
      <c r="BU10" s="732">
        <f t="shared" si="7"/>
        <v>0</v>
      </c>
      <c r="BV10" s="733">
        <f>0</f>
        <v>0</v>
      </c>
      <c r="BW10" s="733">
        <f>0</f>
        <v>0</v>
      </c>
      <c r="BX10" s="733">
        <f>0</f>
        <v>0</v>
      </c>
      <c r="BY10" s="733">
        <f>0</f>
        <v>0</v>
      </c>
      <c r="BZ10" s="732">
        <f t="shared" si="9"/>
        <v>0</v>
      </c>
      <c r="CA10" s="733">
        <f>0</f>
        <v>0</v>
      </c>
      <c r="CB10" s="733">
        <f>0</f>
        <v>0</v>
      </c>
      <c r="CC10" s="733">
        <f>0</f>
        <v>0</v>
      </c>
      <c r="CD10" s="733">
        <f>0</f>
        <v>0</v>
      </c>
      <c r="CE10" s="732">
        <f t="shared" si="10"/>
        <v>0</v>
      </c>
    </row>
    <row r="11" spans="1:83" ht="12.75">
      <c r="A11" s="3" t="s">
        <v>353</v>
      </c>
      <c r="B11" s="175" t="s">
        <v>309</v>
      </c>
      <c r="C11" s="166"/>
      <c r="D11" s="183"/>
      <c r="E11" s="183"/>
      <c r="F11" s="183"/>
      <c r="G11" s="183"/>
      <c r="H11" s="182">
        <v>3452</v>
      </c>
      <c r="I11" s="183"/>
      <c r="J11" s="183"/>
      <c r="K11" s="183"/>
      <c r="L11" s="183"/>
      <c r="M11" s="182">
        <v>5506</v>
      </c>
      <c r="N11" s="182">
        <v>2126</v>
      </c>
      <c r="O11" s="182">
        <v>2480</v>
      </c>
      <c r="P11" s="182">
        <v>2494</v>
      </c>
      <c r="Q11" s="182">
        <v>3449</v>
      </c>
      <c r="R11" s="182">
        <v>10549</v>
      </c>
      <c r="S11" s="182">
        <v>3875</v>
      </c>
      <c r="T11" s="182">
        <v>4382</v>
      </c>
      <c r="U11" s="182">
        <v>4421</v>
      </c>
      <c r="V11" s="182">
        <v>4816</v>
      </c>
      <c r="W11" s="562">
        <v>17494</v>
      </c>
      <c r="X11" s="182">
        <v>4697</v>
      </c>
      <c r="Y11" s="182">
        <v>5322</v>
      </c>
      <c r="Z11" s="182">
        <v>5103</v>
      </c>
      <c r="AA11" s="182">
        <v>5027</v>
      </c>
      <c r="AB11" s="562">
        <v>20149</v>
      </c>
      <c r="AC11" s="182">
        <v>4332</v>
      </c>
      <c r="AD11" s="182">
        <f>10779-AC11</f>
        <v>6447</v>
      </c>
      <c r="AE11" s="182">
        <f>18522-AD11-AC11</f>
        <v>7743</v>
      </c>
      <c r="AF11" s="182">
        <f t="shared" si="8"/>
        <v>8439</v>
      </c>
      <c r="AG11" s="562">
        <v>26961</v>
      </c>
      <c r="AH11" s="182">
        <v>8891</v>
      </c>
      <c r="AI11" s="182">
        <f>15914-AH11</f>
        <v>7023</v>
      </c>
      <c r="AJ11" s="182">
        <f>22672-AI11-AH11</f>
        <v>6758</v>
      </c>
      <c r="AK11" s="182">
        <f t="shared" si="0"/>
        <v>7418</v>
      </c>
      <c r="AL11" s="562">
        <v>30090</v>
      </c>
      <c r="AM11" s="182">
        <v>8445</v>
      </c>
      <c r="AN11" s="182">
        <v>8335</v>
      </c>
      <c r="AO11" s="182">
        <v>8383</v>
      </c>
      <c r="AP11" s="182">
        <v>9729</v>
      </c>
      <c r="AQ11" s="562">
        <f t="shared" si="1"/>
        <v>34892</v>
      </c>
      <c r="AR11" s="465">
        <v>9997</v>
      </c>
      <c r="AS11" s="182">
        <v>9444</v>
      </c>
      <c r="AT11" s="182">
        <v>10489</v>
      </c>
      <c r="AU11" s="182">
        <f>40035-AR11-AS11-AT11</f>
        <v>10105</v>
      </c>
      <c r="AV11" s="562">
        <f t="shared" si="2"/>
        <v>40035</v>
      </c>
      <c r="AW11" s="182">
        <f>38202</f>
        <v>38202</v>
      </c>
      <c r="AX11" s="182">
        <f>46755-AW11</f>
        <v>8553</v>
      </c>
      <c r="AY11" s="182">
        <f>56218-AW11-AX11</f>
        <v>9463</v>
      </c>
      <c r="AZ11" s="182">
        <f t="shared" si="3"/>
        <v>11361</v>
      </c>
      <c r="BA11" s="562">
        <f>67579</f>
        <v>67579</v>
      </c>
      <c r="BB11" s="182">
        <f>11745</f>
        <v>11745</v>
      </c>
      <c r="BC11" s="182">
        <f>24565-BB11</f>
        <v>12820</v>
      </c>
      <c r="BD11" s="182">
        <f>37856-BC11-BB11</f>
        <v>13291</v>
      </c>
      <c r="BE11" s="182">
        <f t="shared" si="4"/>
        <v>15552</v>
      </c>
      <c r="BF11" s="732">
        <v>53408</v>
      </c>
      <c r="BG11" s="733">
        <f>16033</f>
        <v>16033</v>
      </c>
      <c r="BH11" s="733">
        <f>32038-BG11</f>
        <v>16005</v>
      </c>
      <c r="BI11" s="733">
        <f>50560-BH11-BG11</f>
        <v>18522</v>
      </c>
      <c r="BJ11" s="733">
        <f t="shared" si="5"/>
        <v>18519</v>
      </c>
      <c r="BK11" s="732">
        <f>69079</f>
        <v>69079</v>
      </c>
      <c r="BL11" s="733">
        <f>19031</f>
        <v>19031</v>
      </c>
      <c r="BM11" s="733">
        <f>36117-BL11</f>
        <v>17086</v>
      </c>
      <c r="BN11" s="733">
        <f>56454-BM11-BL11</f>
        <v>20337</v>
      </c>
      <c r="BO11" s="733">
        <f t="shared" si="6"/>
        <v>20679</v>
      </c>
      <c r="BP11" s="732">
        <f>77133</f>
        <v>77133</v>
      </c>
      <c r="BQ11" s="733">
        <f>18820</f>
        <v>18820</v>
      </c>
      <c r="BR11" s="733">
        <f>36866-BQ11</f>
        <v>18046</v>
      </c>
      <c r="BS11" s="733">
        <f>56313-SUM(BQ11:BR11)</f>
        <v>19447</v>
      </c>
      <c r="BT11" s="733">
        <f>76966-BS11-BR11-BQ11</f>
        <v>20653</v>
      </c>
      <c r="BU11" s="732">
        <f t="shared" ref="BU11:BU17" si="12">+SUM(BQ11:BT11)</f>
        <v>76966</v>
      </c>
      <c r="BV11" s="733">
        <f>+'Billings &amp; Recs'!BV113</f>
        <v>19083.945650000001</v>
      </c>
      <c r="BW11" s="733">
        <f>+'Billings &amp; Recs'!BW113</f>
        <v>19490.565600000002</v>
      </c>
      <c r="BX11" s="733">
        <f>+'Billings &amp; Recs'!BX113</f>
        <v>19175.43075</v>
      </c>
      <c r="BY11" s="733">
        <f>+'Billings &amp; Recs'!BY113</f>
        <v>18755.174000000003</v>
      </c>
      <c r="BZ11" s="732">
        <f>+'Billings &amp; Recs'!BZ113</f>
        <v>76505.116000000009</v>
      </c>
      <c r="CA11" s="733">
        <f>+'Billings &amp; Recs'!CA113</f>
        <v>18736.964820000005</v>
      </c>
      <c r="CB11" s="733">
        <f>+'Billings &amp; Recs'!CB113</f>
        <v>18959.004720000004</v>
      </c>
      <c r="CC11" s="733">
        <f>+'Billings &amp; Recs'!CC113</f>
        <v>19358.053899999999</v>
      </c>
      <c r="CD11" s="733">
        <f>+'Billings &amp; Recs'!CD113</f>
        <v>18886.460218000004</v>
      </c>
      <c r="CE11" s="732">
        <f>+'Billings &amp; Recs'!CE113</f>
        <v>75940.483658000012</v>
      </c>
    </row>
    <row r="12" spans="1:83" ht="12.75" hidden="1" outlineLevel="1">
      <c r="B12" s="175" t="s">
        <v>310</v>
      </c>
      <c r="C12" s="166"/>
      <c r="D12" s="183"/>
      <c r="E12" s="183"/>
      <c r="F12" s="183"/>
      <c r="G12" s="183"/>
      <c r="H12" s="182">
        <v>24</v>
      </c>
      <c r="I12" s="183"/>
      <c r="J12" s="183"/>
      <c r="K12" s="183"/>
      <c r="L12" s="183"/>
      <c r="M12" s="182">
        <v>0</v>
      </c>
      <c r="N12" s="182">
        <v>0</v>
      </c>
      <c r="O12" s="182">
        <v>0</v>
      </c>
      <c r="P12" s="182">
        <v>0</v>
      </c>
      <c r="Q12" s="182">
        <v>0</v>
      </c>
      <c r="R12" s="182">
        <v>0</v>
      </c>
      <c r="S12" s="182">
        <v>0</v>
      </c>
      <c r="T12" s="182">
        <v>0</v>
      </c>
      <c r="U12" s="182">
        <v>0</v>
      </c>
      <c r="V12" s="182">
        <v>0</v>
      </c>
      <c r="W12" s="562">
        <v>0</v>
      </c>
      <c r="X12" s="182">
        <v>0</v>
      </c>
      <c r="Y12" s="182">
        <v>0</v>
      </c>
      <c r="Z12" s="182">
        <v>0</v>
      </c>
      <c r="AA12" s="182">
        <v>0</v>
      </c>
      <c r="AB12" s="562">
        <v>0</v>
      </c>
      <c r="AC12" s="182">
        <v>0</v>
      </c>
      <c r="AD12" s="182">
        <f>0-AC12</f>
        <v>0</v>
      </c>
      <c r="AE12" s="182">
        <f>0-AD12-AC12</f>
        <v>0</v>
      </c>
      <c r="AF12" s="182">
        <f t="shared" si="8"/>
        <v>0</v>
      </c>
      <c r="AG12" s="562">
        <v>0</v>
      </c>
      <c r="AH12" s="182">
        <v>0</v>
      </c>
      <c r="AI12" s="182">
        <v>0</v>
      </c>
      <c r="AJ12" s="182">
        <v>0</v>
      </c>
      <c r="AK12" s="182">
        <f t="shared" si="0"/>
        <v>0</v>
      </c>
      <c r="AL12" s="562">
        <v>0</v>
      </c>
      <c r="AM12" s="182"/>
      <c r="AN12" s="182">
        <v>0</v>
      </c>
      <c r="AO12" s="182">
        <v>0</v>
      </c>
      <c r="AP12" s="182">
        <v>0</v>
      </c>
      <c r="AQ12" s="562">
        <f t="shared" si="1"/>
        <v>0</v>
      </c>
      <c r="AR12" s="465"/>
      <c r="AS12" s="182"/>
      <c r="AT12" s="182"/>
      <c r="AU12" s="182"/>
      <c r="AV12" s="562">
        <f t="shared" si="2"/>
        <v>0</v>
      </c>
      <c r="AW12" s="182"/>
      <c r="AX12" s="182"/>
      <c r="AY12" s="182"/>
      <c r="AZ12" s="182">
        <v>0</v>
      </c>
      <c r="BA12" s="562">
        <f t="shared" ref="BA12:BA16" si="13">+SUM(AW12:AZ12)</f>
        <v>0</v>
      </c>
      <c r="BB12" s="182"/>
      <c r="BC12" s="182"/>
      <c r="BD12" s="182"/>
      <c r="BE12" s="182">
        <f t="shared" si="4"/>
        <v>0</v>
      </c>
      <c r="BF12" s="732"/>
      <c r="BG12" s="733"/>
      <c r="BH12" s="733"/>
      <c r="BI12" s="733"/>
      <c r="BJ12" s="733">
        <f t="shared" si="5"/>
        <v>0</v>
      </c>
      <c r="BK12" s="732"/>
      <c r="BL12" s="733"/>
      <c r="BM12" s="733"/>
      <c r="BN12" s="733"/>
      <c r="BO12" s="733">
        <f t="shared" si="6"/>
        <v>0</v>
      </c>
      <c r="BP12" s="732"/>
      <c r="BQ12" s="733"/>
      <c r="BR12" s="733"/>
      <c r="BS12" s="733"/>
      <c r="BT12" s="733">
        <f t="shared" si="11"/>
        <v>0</v>
      </c>
      <c r="BU12" s="732">
        <f t="shared" si="12"/>
        <v>0</v>
      </c>
      <c r="BV12" s="733"/>
      <c r="BW12" s="733"/>
      <c r="BX12" s="733"/>
      <c r="BY12" s="733"/>
      <c r="BZ12" s="732">
        <f t="shared" ref="BZ12:BZ17" si="14">+SUM(BV12:BY12)</f>
        <v>0</v>
      </c>
      <c r="CA12" s="733"/>
      <c r="CB12" s="733"/>
      <c r="CC12" s="733"/>
      <c r="CD12" s="733"/>
      <c r="CE12" s="732">
        <f t="shared" ref="CE12:CE17" si="15">+SUM(CA12:CD12)</f>
        <v>0</v>
      </c>
    </row>
    <row r="13" spans="1:83" ht="12.75" collapsed="1">
      <c r="B13" s="175" t="s">
        <v>311</v>
      </c>
      <c r="C13" s="166"/>
      <c r="D13" s="183"/>
      <c r="E13" s="183"/>
      <c r="F13" s="183"/>
      <c r="G13" s="183"/>
      <c r="H13" s="182">
        <v>7</v>
      </c>
      <c r="I13" s="183"/>
      <c r="J13" s="183"/>
      <c r="K13" s="183"/>
      <c r="L13" s="183"/>
      <c r="M13" s="182">
        <v>282</v>
      </c>
      <c r="N13" s="182">
        <v>136</v>
      </c>
      <c r="O13" s="182">
        <v>189</v>
      </c>
      <c r="P13" s="182">
        <v>102</v>
      </c>
      <c r="Q13" s="182">
        <v>138</v>
      </c>
      <c r="R13" s="182">
        <v>565</v>
      </c>
      <c r="S13" s="182">
        <v>168</v>
      </c>
      <c r="T13" s="182">
        <v>156</v>
      </c>
      <c r="U13" s="182">
        <v>105</v>
      </c>
      <c r="V13" s="182">
        <v>165</v>
      </c>
      <c r="W13" s="562">
        <v>594</v>
      </c>
      <c r="X13" s="182">
        <v>208</v>
      </c>
      <c r="Y13" s="182">
        <v>182</v>
      </c>
      <c r="Z13" s="182">
        <v>227</v>
      </c>
      <c r="AA13" s="182">
        <v>383</v>
      </c>
      <c r="AB13" s="562">
        <v>1000</v>
      </c>
      <c r="AC13" s="182">
        <v>426</v>
      </c>
      <c r="AD13" s="182">
        <f>850-AC13</f>
        <v>424</v>
      </c>
      <c r="AE13" s="182">
        <f>1155-AD13-AC13</f>
        <v>305</v>
      </c>
      <c r="AF13" s="182">
        <f t="shared" si="8"/>
        <v>169</v>
      </c>
      <c r="AG13" s="562">
        <v>1324</v>
      </c>
      <c r="AH13" s="182">
        <v>36</v>
      </c>
      <c r="AI13" s="182">
        <f>+-169-AH13</f>
        <v>-205</v>
      </c>
      <c r="AJ13" s="182">
        <f>+-586-AI13-AH13</f>
        <v>-417</v>
      </c>
      <c r="AK13" s="182">
        <f t="shared" si="0"/>
        <v>-550</v>
      </c>
      <c r="AL13" s="562">
        <v>-1136</v>
      </c>
      <c r="AM13" s="182">
        <v>-580</v>
      </c>
      <c r="AN13" s="182">
        <v>-480</v>
      </c>
      <c r="AO13" s="182">
        <v>-342</v>
      </c>
      <c r="AP13" s="182">
        <v>-195</v>
      </c>
      <c r="AQ13" s="562">
        <f t="shared" si="1"/>
        <v>-1597</v>
      </c>
      <c r="AR13" s="182">
        <v>-64</v>
      </c>
      <c r="AS13" s="182">
        <v>43</v>
      </c>
      <c r="AT13" s="182">
        <v>184</v>
      </c>
      <c r="AU13" s="182">
        <f>826-AR13-AS13-AT13</f>
        <v>663</v>
      </c>
      <c r="AV13" s="562">
        <f t="shared" si="2"/>
        <v>826</v>
      </c>
      <c r="AW13" s="182">
        <f>967</f>
        <v>967</v>
      </c>
      <c r="AX13" s="182">
        <f>2029-AW13</f>
        <v>1062</v>
      </c>
      <c r="AY13" s="182">
        <f>2985-AW13-AX13</f>
        <v>956</v>
      </c>
      <c r="AZ13" s="182">
        <f t="shared" si="3"/>
        <v>884</v>
      </c>
      <c r="BA13" s="562">
        <f>3869</f>
        <v>3869</v>
      </c>
      <c r="BB13" s="182">
        <f>762</f>
        <v>762</v>
      </c>
      <c r="BC13" s="182">
        <f>1158-BB13</f>
        <v>396</v>
      </c>
      <c r="BD13" s="182">
        <f>1127-BC13-BB13</f>
        <v>-31</v>
      </c>
      <c r="BE13" s="182">
        <f t="shared" si="4"/>
        <v>-294</v>
      </c>
      <c r="BF13" s="732">
        <v>833</v>
      </c>
      <c r="BG13" s="733">
        <f>-259</f>
        <v>-259</v>
      </c>
      <c r="BH13" s="733">
        <f>-1412-BG13</f>
        <v>-1153</v>
      </c>
      <c r="BI13" s="733">
        <f>-3502-BH13-BG13</f>
        <v>-2090</v>
      </c>
      <c r="BJ13" s="733">
        <f t="shared" si="5"/>
        <v>-2210</v>
      </c>
      <c r="BK13" s="732">
        <f>-5712</f>
        <v>-5712</v>
      </c>
      <c r="BL13" s="733">
        <f>-1915</f>
        <v>-1915</v>
      </c>
      <c r="BM13" s="733">
        <f>-3520-BL13</f>
        <v>-1605</v>
      </c>
      <c r="BN13" s="733">
        <f>-5231-BM13-BL13</f>
        <v>-1711</v>
      </c>
      <c r="BO13" s="733">
        <f t="shared" si="6"/>
        <v>-1504</v>
      </c>
      <c r="BP13" s="732">
        <f>-6735</f>
        <v>-6735</v>
      </c>
      <c r="BQ13" s="733">
        <f>-1107</f>
        <v>-1107</v>
      </c>
      <c r="BR13" s="733">
        <f>-2008-BQ13</f>
        <v>-901</v>
      </c>
      <c r="BS13" s="733">
        <f>-2799-SUM(BQ13:BR13)</f>
        <v>-791</v>
      </c>
      <c r="BT13" s="733">
        <f>-3440-BS13-BR13-BQ13</f>
        <v>-641</v>
      </c>
      <c r="BU13" s="732">
        <f t="shared" si="12"/>
        <v>-3440</v>
      </c>
      <c r="BV13" s="733">
        <f>0</f>
        <v>0</v>
      </c>
      <c r="BW13" s="733">
        <f>0</f>
        <v>0</v>
      </c>
      <c r="BX13" s="733">
        <f>0</f>
        <v>0</v>
      </c>
      <c r="BY13" s="733">
        <f>0</f>
        <v>0</v>
      </c>
      <c r="BZ13" s="732">
        <f t="shared" si="14"/>
        <v>0</v>
      </c>
      <c r="CA13" s="733">
        <f>0</f>
        <v>0</v>
      </c>
      <c r="CB13" s="733">
        <f>0</f>
        <v>0</v>
      </c>
      <c r="CC13" s="733">
        <f>0</f>
        <v>0</v>
      </c>
      <c r="CD13" s="733">
        <f>0</f>
        <v>0</v>
      </c>
      <c r="CE13" s="732">
        <f t="shared" si="15"/>
        <v>0</v>
      </c>
    </row>
    <row r="14" spans="1:83" ht="12.75" hidden="1" outlineLevel="1">
      <c r="B14" s="175" t="s">
        <v>312</v>
      </c>
      <c r="C14" s="166"/>
      <c r="D14" s="183"/>
      <c r="E14" s="183"/>
      <c r="F14" s="183"/>
      <c r="G14" s="183"/>
      <c r="H14" s="182">
        <v>0</v>
      </c>
      <c r="I14" s="183"/>
      <c r="J14" s="183"/>
      <c r="K14" s="183"/>
      <c r="L14" s="183"/>
      <c r="M14" s="182">
        <v>0</v>
      </c>
      <c r="N14" s="182">
        <v>0</v>
      </c>
      <c r="O14" s="182">
        <v>-54</v>
      </c>
      <c r="P14" s="182">
        <v>-77</v>
      </c>
      <c r="Q14" s="182">
        <v>-128</v>
      </c>
      <c r="R14" s="182">
        <v>-259</v>
      </c>
      <c r="S14" s="182">
        <v>-91</v>
      </c>
      <c r="T14" s="182">
        <v>-100</v>
      </c>
      <c r="U14" s="182">
        <v>-124</v>
      </c>
      <c r="V14" s="182">
        <v>-172</v>
      </c>
      <c r="W14" s="562">
        <v>-487</v>
      </c>
      <c r="X14" s="182">
        <v>-3095</v>
      </c>
      <c r="Y14" s="182">
        <v>-618</v>
      </c>
      <c r="Z14" s="182">
        <v>-1119</v>
      </c>
      <c r="AA14" s="182">
        <v>-3868</v>
      </c>
      <c r="AB14" s="562">
        <v>-8700</v>
      </c>
      <c r="AC14" s="182">
        <v>8368</v>
      </c>
      <c r="AD14" s="182">
        <f>8368-AC14</f>
        <v>0</v>
      </c>
      <c r="AE14" s="182">
        <f>7880-AD14-AC14</f>
        <v>-488</v>
      </c>
      <c r="AF14" s="182">
        <f t="shared" si="8"/>
        <v>-7880</v>
      </c>
      <c r="AG14" s="562">
        <v>0</v>
      </c>
      <c r="AH14" s="182">
        <v>0</v>
      </c>
      <c r="AI14" s="182">
        <v>0</v>
      </c>
      <c r="AJ14" s="182">
        <v>0</v>
      </c>
      <c r="AK14" s="182">
        <f t="shared" si="0"/>
        <v>0</v>
      </c>
      <c r="AL14" s="562">
        <v>0</v>
      </c>
      <c r="AM14" s="182">
        <v>0</v>
      </c>
      <c r="AN14" s="182">
        <v>0</v>
      </c>
      <c r="AO14" s="182">
        <v>0</v>
      </c>
      <c r="AP14" s="182">
        <v>0</v>
      </c>
      <c r="AQ14" s="562">
        <f t="shared" si="1"/>
        <v>0</v>
      </c>
      <c r="AR14" s="182"/>
      <c r="AS14" s="182"/>
      <c r="AT14" s="182"/>
      <c r="AU14" s="182"/>
      <c r="AV14" s="562">
        <f t="shared" si="2"/>
        <v>0</v>
      </c>
      <c r="AW14" s="182"/>
      <c r="AX14" s="182"/>
      <c r="AY14" s="182"/>
      <c r="AZ14" s="182"/>
      <c r="BA14" s="562">
        <f t="shared" si="13"/>
        <v>0</v>
      </c>
      <c r="BB14" s="182"/>
      <c r="BC14" s="182"/>
      <c r="BD14" s="182"/>
      <c r="BE14" s="182">
        <f t="shared" si="4"/>
        <v>0</v>
      </c>
      <c r="BF14" s="732"/>
      <c r="BG14" s="733"/>
      <c r="BH14" s="733"/>
      <c r="BI14" s="733"/>
      <c r="BJ14" s="733">
        <f t="shared" si="5"/>
        <v>0</v>
      </c>
      <c r="BK14" s="732"/>
      <c r="BL14" s="733"/>
      <c r="BM14" s="733"/>
      <c r="BN14" s="733"/>
      <c r="BO14" s="733">
        <f t="shared" si="6"/>
        <v>0</v>
      </c>
      <c r="BP14" s="732"/>
      <c r="BQ14" s="733"/>
      <c r="BR14" s="733"/>
      <c r="BS14" s="733"/>
      <c r="BT14" s="733">
        <f t="shared" si="11"/>
        <v>0</v>
      </c>
      <c r="BU14" s="732">
        <f t="shared" si="12"/>
        <v>0</v>
      </c>
      <c r="BV14" s="733"/>
      <c r="BW14" s="733"/>
      <c r="BX14" s="733"/>
      <c r="BY14" s="733"/>
      <c r="BZ14" s="732">
        <f t="shared" si="14"/>
        <v>0</v>
      </c>
      <c r="CA14" s="733"/>
      <c r="CB14" s="733"/>
      <c r="CC14" s="733"/>
      <c r="CD14" s="733"/>
      <c r="CE14" s="732">
        <f t="shared" si="15"/>
        <v>0</v>
      </c>
    </row>
    <row r="15" spans="1:83" ht="12.75" hidden="1" outlineLevel="1">
      <c r="B15" s="175" t="s">
        <v>313</v>
      </c>
      <c r="C15" s="166"/>
      <c r="D15" s="183"/>
      <c r="E15" s="183"/>
      <c r="F15" s="183"/>
      <c r="G15" s="183"/>
      <c r="H15" s="182">
        <v>0</v>
      </c>
      <c r="I15" s="183"/>
      <c r="J15" s="183"/>
      <c r="K15" s="183"/>
      <c r="L15" s="183"/>
      <c r="M15" s="182">
        <v>0</v>
      </c>
      <c r="N15" s="182">
        <v>0</v>
      </c>
      <c r="O15" s="182">
        <v>0</v>
      </c>
      <c r="P15" s="182">
        <v>0</v>
      </c>
      <c r="Q15" s="182">
        <v>0</v>
      </c>
      <c r="R15" s="182">
        <v>0</v>
      </c>
      <c r="S15" s="182">
        <v>0</v>
      </c>
      <c r="T15" s="182">
        <v>0</v>
      </c>
      <c r="U15" s="182">
        <v>0</v>
      </c>
      <c r="V15" s="182">
        <v>255</v>
      </c>
      <c r="W15" s="562">
        <v>255</v>
      </c>
      <c r="X15" s="182">
        <v>0</v>
      </c>
      <c r="Y15" s="182">
        <v>0</v>
      </c>
      <c r="Z15" s="182">
        <v>0</v>
      </c>
      <c r="AA15" s="182">
        <v>0</v>
      </c>
      <c r="AB15" s="562">
        <v>0</v>
      </c>
      <c r="AC15" s="182">
        <v>0</v>
      </c>
      <c r="AD15" s="182">
        <f>0-AC15</f>
        <v>0</v>
      </c>
      <c r="AE15" s="182">
        <f>0-AD15-AC15</f>
        <v>0</v>
      </c>
      <c r="AF15" s="182">
        <f t="shared" si="8"/>
        <v>0</v>
      </c>
      <c r="AG15" s="562">
        <v>0</v>
      </c>
      <c r="AH15" s="182">
        <v>0</v>
      </c>
      <c r="AI15" s="182">
        <v>0</v>
      </c>
      <c r="AJ15" s="182">
        <v>0</v>
      </c>
      <c r="AK15" s="182">
        <f t="shared" si="0"/>
        <v>0</v>
      </c>
      <c r="AL15" s="562">
        <v>0</v>
      </c>
      <c r="AM15" s="182">
        <v>0</v>
      </c>
      <c r="AN15" s="182">
        <v>0</v>
      </c>
      <c r="AO15" s="182">
        <v>0</v>
      </c>
      <c r="AP15" s="182">
        <v>0</v>
      </c>
      <c r="AQ15" s="562">
        <f t="shared" si="1"/>
        <v>0</v>
      </c>
      <c r="AR15" s="182"/>
      <c r="AS15" s="182"/>
      <c r="AT15" s="182"/>
      <c r="AU15" s="182"/>
      <c r="AV15" s="562">
        <f t="shared" si="2"/>
        <v>0</v>
      </c>
      <c r="AW15" s="182"/>
      <c r="AX15" s="182"/>
      <c r="AY15" s="182"/>
      <c r="AZ15" s="182"/>
      <c r="BA15" s="562">
        <f t="shared" si="13"/>
        <v>0</v>
      </c>
      <c r="BB15" s="182"/>
      <c r="BC15" s="182"/>
      <c r="BD15" s="182"/>
      <c r="BE15" s="182">
        <f t="shared" si="4"/>
        <v>0</v>
      </c>
      <c r="BF15" s="732"/>
      <c r="BG15" s="733"/>
      <c r="BH15" s="733"/>
      <c r="BI15" s="733"/>
      <c r="BJ15" s="733">
        <f t="shared" si="5"/>
        <v>0</v>
      </c>
      <c r="BK15" s="732"/>
      <c r="BL15" s="733"/>
      <c r="BM15" s="733"/>
      <c r="BN15" s="733"/>
      <c r="BO15" s="733">
        <f t="shared" si="6"/>
        <v>0</v>
      </c>
      <c r="BP15" s="732"/>
      <c r="BQ15" s="733"/>
      <c r="BR15" s="733"/>
      <c r="BS15" s="733"/>
      <c r="BT15" s="733">
        <f t="shared" si="11"/>
        <v>0</v>
      </c>
      <c r="BU15" s="732">
        <f t="shared" si="12"/>
        <v>0</v>
      </c>
      <c r="BV15" s="733"/>
      <c r="BW15" s="733"/>
      <c r="BX15" s="733"/>
      <c r="BY15" s="733"/>
      <c r="BZ15" s="732">
        <f t="shared" si="14"/>
        <v>0</v>
      </c>
      <c r="CA15" s="733"/>
      <c r="CB15" s="733"/>
      <c r="CC15" s="733"/>
      <c r="CD15" s="733"/>
      <c r="CE15" s="732">
        <f t="shared" si="15"/>
        <v>0</v>
      </c>
    </row>
    <row r="16" spans="1:83" ht="12.75" hidden="1" outlineLevel="1">
      <c r="B16" s="175" t="s">
        <v>314</v>
      </c>
      <c r="C16" s="166"/>
      <c r="D16" s="183"/>
      <c r="E16" s="183"/>
      <c r="F16" s="183"/>
      <c r="G16" s="183"/>
      <c r="H16" s="182">
        <v>0</v>
      </c>
      <c r="I16" s="183"/>
      <c r="J16" s="183"/>
      <c r="K16" s="183"/>
      <c r="L16" s="183"/>
      <c r="M16" s="182">
        <v>0</v>
      </c>
      <c r="N16" s="182">
        <v>0</v>
      </c>
      <c r="O16" s="182">
        <v>0</v>
      </c>
      <c r="P16" s="182">
        <v>0</v>
      </c>
      <c r="Q16" s="182">
        <v>0</v>
      </c>
      <c r="R16" s="182">
        <v>0</v>
      </c>
      <c r="S16" s="182">
        <v>0</v>
      </c>
      <c r="T16" s="182">
        <v>0</v>
      </c>
      <c r="U16" s="182">
        <v>0</v>
      </c>
      <c r="V16" s="182">
        <v>0</v>
      </c>
      <c r="W16" s="562">
        <v>0</v>
      </c>
      <c r="X16" s="182">
        <v>0</v>
      </c>
      <c r="Y16" s="182">
        <v>0</v>
      </c>
      <c r="Z16" s="182">
        <v>0</v>
      </c>
      <c r="AA16" s="182">
        <v>0</v>
      </c>
      <c r="AB16" s="562">
        <v>0</v>
      </c>
      <c r="AC16" s="182">
        <v>0</v>
      </c>
      <c r="AD16" s="182">
        <f>0-AC16</f>
        <v>0</v>
      </c>
      <c r="AE16" s="182">
        <f>0-AD16-AC16</f>
        <v>0</v>
      </c>
      <c r="AF16" s="182">
        <f t="shared" si="8"/>
        <v>7696</v>
      </c>
      <c r="AG16" s="562">
        <v>7696</v>
      </c>
      <c r="AH16" s="182">
        <v>0</v>
      </c>
      <c r="AI16" s="182">
        <v>0</v>
      </c>
      <c r="AJ16" s="182">
        <v>0</v>
      </c>
      <c r="AK16" s="182">
        <f t="shared" si="0"/>
        <v>0</v>
      </c>
      <c r="AL16" s="562">
        <v>0</v>
      </c>
      <c r="AM16" s="182">
        <v>0</v>
      </c>
      <c r="AN16" s="182">
        <v>0</v>
      </c>
      <c r="AO16" s="182">
        <v>0</v>
      </c>
      <c r="AP16" s="182">
        <v>0</v>
      </c>
      <c r="AQ16" s="562">
        <f t="shared" si="1"/>
        <v>0</v>
      </c>
      <c r="AR16" s="182"/>
      <c r="AS16" s="182"/>
      <c r="AT16" s="182"/>
      <c r="AU16" s="182">
        <f>0-AR16-AS16-AT16</f>
        <v>0</v>
      </c>
      <c r="AV16" s="562">
        <f t="shared" si="2"/>
        <v>0</v>
      </c>
      <c r="AW16" s="182">
        <f>0</f>
        <v>0</v>
      </c>
      <c r="AX16" s="182"/>
      <c r="AY16" s="182"/>
      <c r="AZ16" s="182"/>
      <c r="BA16" s="562">
        <f t="shared" si="13"/>
        <v>0</v>
      </c>
      <c r="BB16" s="182"/>
      <c r="BC16" s="182"/>
      <c r="BD16" s="182"/>
      <c r="BE16" s="182">
        <f t="shared" si="4"/>
        <v>0</v>
      </c>
      <c r="BF16" s="732"/>
      <c r="BG16" s="733"/>
      <c r="BH16" s="733"/>
      <c r="BI16" s="733"/>
      <c r="BJ16" s="733">
        <f t="shared" si="5"/>
        <v>0</v>
      </c>
      <c r="BK16" s="732"/>
      <c r="BL16" s="733"/>
      <c r="BM16" s="733"/>
      <c r="BN16" s="733"/>
      <c r="BO16" s="733">
        <f t="shared" si="6"/>
        <v>0</v>
      </c>
      <c r="BP16" s="732"/>
      <c r="BQ16" s="733"/>
      <c r="BR16" s="733"/>
      <c r="BS16" s="733"/>
      <c r="BT16" s="733">
        <f t="shared" si="11"/>
        <v>0</v>
      </c>
      <c r="BU16" s="732">
        <f t="shared" si="12"/>
        <v>0</v>
      </c>
      <c r="BV16" s="733"/>
      <c r="BW16" s="733"/>
      <c r="BX16" s="733"/>
      <c r="BY16" s="733"/>
      <c r="BZ16" s="732">
        <f t="shared" si="14"/>
        <v>0</v>
      </c>
      <c r="CA16" s="733"/>
      <c r="CB16" s="733"/>
      <c r="CC16" s="733"/>
      <c r="CD16" s="733"/>
      <c r="CE16" s="732">
        <f t="shared" si="15"/>
        <v>0</v>
      </c>
    </row>
    <row r="17" spans="1:83" ht="12.75" collapsed="1">
      <c r="B17" s="175" t="s">
        <v>99</v>
      </c>
      <c r="C17" s="166"/>
      <c r="D17" s="183"/>
      <c r="E17" s="183"/>
      <c r="F17" s="183"/>
      <c r="G17" s="183"/>
      <c r="H17" s="182">
        <v>0</v>
      </c>
      <c r="I17" s="183"/>
      <c r="J17" s="183"/>
      <c r="K17" s="183"/>
      <c r="L17" s="183"/>
      <c r="M17" s="182">
        <v>0</v>
      </c>
      <c r="N17" s="182">
        <v>0</v>
      </c>
      <c r="O17" s="182">
        <v>0</v>
      </c>
      <c r="P17" s="182">
        <v>0</v>
      </c>
      <c r="Q17" s="182">
        <v>-22599</v>
      </c>
      <c r="R17" s="182">
        <v>-22599</v>
      </c>
      <c r="S17" s="182">
        <v>1362</v>
      </c>
      <c r="T17" s="182">
        <v>1702</v>
      </c>
      <c r="U17" s="182">
        <v>2041</v>
      </c>
      <c r="V17" s="182">
        <v>1459</v>
      </c>
      <c r="W17" s="562">
        <v>6564</v>
      </c>
      <c r="X17" s="182">
        <v>-1086</v>
      </c>
      <c r="Y17" s="182">
        <v>1001</v>
      </c>
      <c r="Z17" s="182">
        <v>1016</v>
      </c>
      <c r="AA17" s="182">
        <v>-1371</v>
      </c>
      <c r="AB17" s="562">
        <v>-440</v>
      </c>
      <c r="AC17" s="182">
        <v>-22559</v>
      </c>
      <c r="AD17" s="182">
        <f>-20897-AC17</f>
        <v>1662</v>
      </c>
      <c r="AE17" s="182">
        <f>+-17631-AD17-AC17</f>
        <v>3266</v>
      </c>
      <c r="AF17" s="182">
        <f t="shared" si="8"/>
        <v>7217</v>
      </c>
      <c r="AG17" s="562">
        <v>-10414</v>
      </c>
      <c r="AH17" s="182">
        <v>140</v>
      </c>
      <c r="AI17" s="182">
        <f>681-AH17</f>
        <v>541</v>
      </c>
      <c r="AJ17" s="182">
        <f>+-4024-AI17-AH17</f>
        <v>-4705</v>
      </c>
      <c r="AK17" s="182">
        <f t="shared" si="0"/>
        <v>-120</v>
      </c>
      <c r="AL17" s="562">
        <v>-4144</v>
      </c>
      <c r="AM17" s="182">
        <v>1643</v>
      </c>
      <c r="AN17" s="182">
        <v>1404</v>
      </c>
      <c r="AO17" s="182">
        <v>4249</v>
      </c>
      <c r="AP17" s="182">
        <v>-201</v>
      </c>
      <c r="AQ17" s="562">
        <f t="shared" si="1"/>
        <v>7095</v>
      </c>
      <c r="AR17" s="182">
        <v>1784</v>
      </c>
      <c r="AS17" s="182">
        <v>-515</v>
      </c>
      <c r="AT17" s="182">
        <v>3792</v>
      </c>
      <c r="AU17" s="182">
        <f>3512-AR17-AS17-AT17</f>
        <v>-1549</v>
      </c>
      <c r="AV17" s="562">
        <f t="shared" si="2"/>
        <v>3512</v>
      </c>
      <c r="AW17" s="182">
        <f>-5162</f>
        <v>-5162</v>
      </c>
      <c r="AX17" s="182">
        <f>-722-AW17</f>
        <v>4440</v>
      </c>
      <c r="AY17" s="182">
        <f>-15962-AW17-AX17</f>
        <v>-15240</v>
      </c>
      <c r="AZ17" s="182">
        <f t="shared" si="3"/>
        <v>6240</v>
      </c>
      <c r="BA17" s="562">
        <f>-9722</f>
        <v>-9722</v>
      </c>
      <c r="BB17" s="182">
        <f>-5095</f>
        <v>-5095</v>
      </c>
      <c r="BC17" s="182">
        <f>-10861-BB17</f>
        <v>-5766</v>
      </c>
      <c r="BD17" s="182">
        <f>-15599-BC17-BB17</f>
        <v>-4738</v>
      </c>
      <c r="BE17" s="182">
        <f t="shared" si="4"/>
        <v>-4652</v>
      </c>
      <c r="BF17" s="732">
        <v>-20251</v>
      </c>
      <c r="BG17" s="733">
        <f>-4241</f>
        <v>-4241</v>
      </c>
      <c r="BH17" s="733">
        <f>-9122-BG17</f>
        <v>-4881</v>
      </c>
      <c r="BI17" s="733">
        <f>-11561-BH17-BG17</f>
        <v>-2439</v>
      </c>
      <c r="BJ17" s="733">
        <f t="shared" si="5"/>
        <v>-5075</v>
      </c>
      <c r="BK17" s="732">
        <f>-16636</f>
        <v>-16636</v>
      </c>
      <c r="BL17" s="733">
        <f>-4111</f>
        <v>-4111</v>
      </c>
      <c r="BM17" s="733">
        <f>-8165-BL17</f>
        <v>-4054</v>
      </c>
      <c r="BN17" s="733">
        <f>-15374-BM17-BL17</f>
        <v>-7209</v>
      </c>
      <c r="BO17" s="733">
        <f t="shared" si="6"/>
        <v>-4091</v>
      </c>
      <c r="BP17" s="732">
        <f>-19465</f>
        <v>-19465</v>
      </c>
      <c r="BQ17" s="733">
        <f>-4360</f>
        <v>-4360</v>
      </c>
      <c r="BR17" s="733">
        <f>-8605-BQ17</f>
        <v>-4245</v>
      </c>
      <c r="BS17" s="733">
        <f>6724-SUM(BQ17:BR17)</f>
        <v>15329</v>
      </c>
      <c r="BT17" s="733">
        <f>8412-BS17-BR17-BQ17</f>
        <v>1688</v>
      </c>
      <c r="BU17" s="732">
        <f t="shared" si="12"/>
        <v>8412</v>
      </c>
      <c r="BV17" s="733">
        <f>+-(BS!BV17-BS!BT17)</f>
        <v>0</v>
      </c>
      <c r="BW17" s="733">
        <f>+-(BS!BW17-BS!BV17)</f>
        <v>0</v>
      </c>
      <c r="BX17" s="733">
        <f>+-(BS!BX17-BS!BW17)</f>
        <v>0</v>
      </c>
      <c r="BY17" s="733">
        <f>+-(BS!BY17-BS!BX17)</f>
        <v>0</v>
      </c>
      <c r="BZ17" s="732">
        <f t="shared" si="14"/>
        <v>0</v>
      </c>
      <c r="CA17" s="733">
        <f>+-(BS!CA17-BS!BY17)</f>
        <v>0</v>
      </c>
      <c r="CB17" s="733">
        <f>+-(BS!CB17-BS!CA17)</f>
        <v>0</v>
      </c>
      <c r="CC17" s="733">
        <f>+-(BS!CC17-BS!CB17)</f>
        <v>0</v>
      </c>
      <c r="CD17" s="733">
        <f>+-(BS!CD17-BS!CC17)</f>
        <v>0</v>
      </c>
      <c r="CE17" s="732">
        <f t="shared" si="15"/>
        <v>0</v>
      </c>
    </row>
    <row r="18" spans="1:83" ht="12.75">
      <c r="B18" s="175" t="s">
        <v>247</v>
      </c>
      <c r="C18" s="166"/>
      <c r="D18" s="183"/>
      <c r="E18" s="183"/>
      <c r="F18" s="183"/>
      <c r="G18" s="183"/>
      <c r="H18" s="182">
        <v>-4014</v>
      </c>
      <c r="I18" s="183"/>
      <c r="J18" s="183"/>
      <c r="K18" s="183"/>
      <c r="L18" s="183"/>
      <c r="M18" s="182">
        <v>-4343</v>
      </c>
      <c r="N18" s="182">
        <v>6680</v>
      </c>
      <c r="O18" s="182">
        <v>-6313</v>
      </c>
      <c r="P18" s="182">
        <v>-2409</v>
      </c>
      <c r="Q18" s="182">
        <v>-2840</v>
      </c>
      <c r="R18" s="182">
        <v>-4882</v>
      </c>
      <c r="S18" s="182">
        <v>-5914</v>
      </c>
      <c r="T18" s="182">
        <v>4022</v>
      </c>
      <c r="U18" s="182">
        <v>-3620</v>
      </c>
      <c r="V18" s="182">
        <v>-4671</v>
      </c>
      <c r="W18" s="562">
        <v>-10183</v>
      </c>
      <c r="X18" s="182">
        <v>-169</v>
      </c>
      <c r="Y18" s="182">
        <v>2002</v>
      </c>
      <c r="Z18" s="182">
        <v>-1570</v>
      </c>
      <c r="AA18" s="182">
        <v>-5161</v>
      </c>
      <c r="AB18" s="562">
        <v>-4898</v>
      </c>
      <c r="AC18" s="182">
        <v>5375</v>
      </c>
      <c r="AD18" s="182">
        <f>369-AC18</f>
        <v>-5006</v>
      </c>
      <c r="AE18" s="182">
        <f>317-AD18-AC18</f>
        <v>-52</v>
      </c>
      <c r="AF18" s="182">
        <f t="shared" si="8"/>
        <v>-18283</v>
      </c>
      <c r="AG18" s="562">
        <v>-17966</v>
      </c>
      <c r="AH18" s="182">
        <v>14538</v>
      </c>
      <c r="AI18" s="182">
        <f>11876-AH18</f>
        <v>-2662</v>
      </c>
      <c r="AJ18" s="182">
        <f>5800-AI18-AH18</f>
        <v>-6076</v>
      </c>
      <c r="AK18" s="182">
        <f t="shared" si="0"/>
        <v>-17298</v>
      </c>
      <c r="AL18" s="562">
        <v>-11498</v>
      </c>
      <c r="AM18" s="182">
        <v>7962</v>
      </c>
      <c r="AN18" s="182">
        <v>4593</v>
      </c>
      <c r="AO18" s="182">
        <v>1800</v>
      </c>
      <c r="AP18" s="182">
        <v>-16811</v>
      </c>
      <c r="AQ18" s="562">
        <f t="shared" si="1"/>
        <v>-2456</v>
      </c>
      <c r="AR18" s="182">
        <v>5190</v>
      </c>
      <c r="AS18" s="182">
        <v>-3393</v>
      </c>
      <c r="AT18" s="182">
        <v>11554</v>
      </c>
      <c r="AU18" s="182">
        <f>-22631-AR18-AS18-AT18</f>
        <v>-35982</v>
      </c>
      <c r="AV18" s="562">
        <f t="shared" si="2"/>
        <v>-22631</v>
      </c>
      <c r="AW18" s="182">
        <f>14819</f>
        <v>14819</v>
      </c>
      <c r="AX18" s="182">
        <f>13983-AW18</f>
        <v>-836</v>
      </c>
      <c r="AY18" s="182">
        <f>15665-AW18-AX18</f>
        <v>1682</v>
      </c>
      <c r="AZ18" s="182">
        <f t="shared" si="3"/>
        <v>-24886</v>
      </c>
      <c r="BA18" s="562">
        <f>-9221</f>
        <v>-9221</v>
      </c>
      <c r="BB18" s="182">
        <f>19563</f>
        <v>19563</v>
      </c>
      <c r="BC18" s="182">
        <f>11009-BB18</f>
        <v>-8554</v>
      </c>
      <c r="BD18" s="182">
        <f>9788-BC18-BB18</f>
        <v>-1221</v>
      </c>
      <c r="BE18" s="182">
        <f t="shared" si="4"/>
        <v>-23175</v>
      </c>
      <c r="BF18" s="732">
        <v>-13387</v>
      </c>
      <c r="BG18" s="733">
        <f>19890</f>
        <v>19890</v>
      </c>
      <c r="BH18" s="733">
        <f>-3277-BG18</f>
        <v>-23167</v>
      </c>
      <c r="BI18" s="733">
        <f>18137-BH18-BG18</f>
        <v>21414</v>
      </c>
      <c r="BJ18" s="733">
        <f t="shared" si="5"/>
        <v>-43115</v>
      </c>
      <c r="BK18" s="732">
        <f>-24978</f>
        <v>-24978</v>
      </c>
      <c r="BL18" s="733">
        <f>30404</f>
        <v>30404</v>
      </c>
      <c r="BM18" s="733">
        <f>36365-BL18</f>
        <v>5961</v>
      </c>
      <c r="BN18" s="733">
        <f>30848-BM18-BL18</f>
        <v>-5517</v>
      </c>
      <c r="BO18" s="733">
        <f t="shared" si="6"/>
        <v>-49937</v>
      </c>
      <c r="BP18" s="732">
        <f>-19089</f>
        <v>-19089</v>
      </c>
      <c r="BQ18" s="733">
        <f>42782</f>
        <v>42782</v>
      </c>
      <c r="BR18" s="733">
        <f>35026-BQ18</f>
        <v>-7756</v>
      </c>
      <c r="BS18" s="733">
        <f>35023-SUM(BQ18:BR18)</f>
        <v>-3</v>
      </c>
      <c r="BT18" s="733">
        <f>-7666-BS18-BR18-BQ18</f>
        <v>-42689</v>
      </c>
      <c r="BU18" s="732">
        <f t="shared" ref="BU18:BU25" si="16">+SUM(BQ18:BT18)</f>
        <v>-7666</v>
      </c>
      <c r="BV18" s="733">
        <f>+-(BS!BV9-BS!BT9)</f>
        <v>39909.353111111093</v>
      </c>
      <c r="BW18" s="733">
        <f>+-(BS!BW9-BS!BV9)</f>
        <v>-10667.921111111093</v>
      </c>
      <c r="BX18" s="733">
        <f>+-(BS!BX9-BS!BW9)</f>
        <v>9855.0707777777861</v>
      </c>
      <c r="BY18" s="733">
        <f>+-(BS!BY9-BS!BX9)</f>
        <v>-59825.059222222248</v>
      </c>
      <c r="BZ18" s="732">
        <f t="shared" ref="BZ18:BZ25" si="17">+SUM(BV18:BY18)</f>
        <v>-20728.556444444461</v>
      </c>
      <c r="CA18" s="733">
        <f>+-(BS!CA9-BS!BY9)</f>
        <v>48069.492824444431</v>
      </c>
      <c r="CB18" s="733">
        <f>+-(BS!CB9-BS!CA9)</f>
        <v>-5915.4180599999963</v>
      </c>
      <c r="CC18" s="733">
        <f>+-(BS!CC9-BS!CB9)</f>
        <v>7606.4197466667101</v>
      </c>
      <c r="CD18" s="733">
        <f>+-(BS!CD9-BS!CC9)</f>
        <v>-56845.782466666715</v>
      </c>
      <c r="CE18" s="732">
        <f t="shared" ref="CE18:CE25" si="18">+SUM(CA18:CD18)</f>
        <v>-7085.2879555555701</v>
      </c>
    </row>
    <row r="19" spans="1:83" ht="12.75">
      <c r="B19" s="175" t="s">
        <v>315</v>
      </c>
      <c r="C19" s="166"/>
      <c r="D19" s="183"/>
      <c r="E19" s="183"/>
      <c r="F19" s="183"/>
      <c r="G19" s="183"/>
      <c r="H19" s="182">
        <v>91</v>
      </c>
      <c r="I19" s="183"/>
      <c r="J19" s="183"/>
      <c r="K19" s="183"/>
      <c r="L19" s="183"/>
      <c r="M19" s="182">
        <v>510</v>
      </c>
      <c r="N19" s="182">
        <v>272</v>
      </c>
      <c r="O19" s="182">
        <v>-1059</v>
      </c>
      <c r="P19" s="182">
        <v>-451</v>
      </c>
      <c r="Q19" s="182">
        <v>-2218</v>
      </c>
      <c r="R19" s="182">
        <v>-3456</v>
      </c>
      <c r="S19" s="182">
        <v>-670</v>
      </c>
      <c r="T19" s="182">
        <v>136</v>
      </c>
      <c r="U19" s="182">
        <v>-1609</v>
      </c>
      <c r="V19" s="182">
        <v>1132</v>
      </c>
      <c r="W19" s="562">
        <v>-1011</v>
      </c>
      <c r="X19" s="182">
        <v>573</v>
      </c>
      <c r="Y19" s="182">
        <v>-656</v>
      </c>
      <c r="Z19" s="182">
        <v>-1113</v>
      </c>
      <c r="AA19" s="182">
        <v>-911</v>
      </c>
      <c r="AB19" s="562">
        <v>-2107</v>
      </c>
      <c r="AC19" s="182">
        <v>981</v>
      </c>
      <c r="AD19" s="182">
        <f>+-1067-AC19</f>
        <v>-2048</v>
      </c>
      <c r="AE19" s="182">
        <f>+-405-AD19-AC19</f>
        <v>662</v>
      </c>
      <c r="AF19" s="182">
        <f t="shared" si="8"/>
        <v>352</v>
      </c>
      <c r="AG19" s="562">
        <v>-53</v>
      </c>
      <c r="AH19" s="182">
        <v>-2341</v>
      </c>
      <c r="AI19" s="182">
        <f>+-4073-AH19</f>
        <v>-1732</v>
      </c>
      <c r="AJ19" s="182">
        <f>+-5733-AI19-AH19</f>
        <v>-1660</v>
      </c>
      <c r="AK19" s="182">
        <f t="shared" si="0"/>
        <v>-100</v>
      </c>
      <c r="AL19" s="562">
        <v>-5833</v>
      </c>
      <c r="AM19" s="182">
        <v>-3192</v>
      </c>
      <c r="AN19" s="182">
        <v>-3671</v>
      </c>
      <c r="AO19" s="182">
        <v>378</v>
      </c>
      <c r="AP19" s="182">
        <v>556</v>
      </c>
      <c r="AQ19" s="562">
        <f t="shared" si="1"/>
        <v>-5929</v>
      </c>
      <c r="AR19" s="182">
        <v>-1629</v>
      </c>
      <c r="AS19" s="182">
        <v>-5096</v>
      </c>
      <c r="AT19" s="182">
        <v>654</v>
      </c>
      <c r="AU19" s="182">
        <f>-2329-AR19-AS19-AT19</f>
        <v>3742</v>
      </c>
      <c r="AV19" s="562">
        <f t="shared" si="2"/>
        <v>-2329</v>
      </c>
      <c r="AW19" s="182">
        <f>-6083</f>
        <v>-6083</v>
      </c>
      <c r="AX19" s="182">
        <f>-6014-AW19</f>
        <v>69</v>
      </c>
      <c r="AY19" s="182">
        <f>-5460-AW19-AX19</f>
        <v>554</v>
      </c>
      <c r="AZ19" s="182">
        <f t="shared" si="3"/>
        <v>-10206</v>
      </c>
      <c r="BA19" s="562">
        <f>-15666</f>
        <v>-15666</v>
      </c>
      <c r="BB19" s="182">
        <f>6067</f>
        <v>6067</v>
      </c>
      <c r="BC19" s="182">
        <f>-1085-BB19</f>
        <v>-7152</v>
      </c>
      <c r="BD19" s="182">
        <f>-1412-BC19-BB19</f>
        <v>-327</v>
      </c>
      <c r="BE19" s="182">
        <f t="shared" si="4"/>
        <v>5290</v>
      </c>
      <c r="BF19" s="732">
        <f>3878</f>
        <v>3878</v>
      </c>
      <c r="BG19" s="733">
        <f>-1289</f>
        <v>-1289</v>
      </c>
      <c r="BH19" s="733">
        <f>-7450-BG19</f>
        <v>-6161</v>
      </c>
      <c r="BI19" s="733">
        <f>-4804-BH19-BG19</f>
        <v>2646</v>
      </c>
      <c r="BJ19" s="733">
        <f t="shared" si="5"/>
        <v>1397</v>
      </c>
      <c r="BK19" s="732">
        <f>-3407</f>
        <v>-3407</v>
      </c>
      <c r="BL19" s="733">
        <f>-10126</f>
        <v>-10126</v>
      </c>
      <c r="BM19" s="733">
        <f>-4489-BL19</f>
        <v>5637</v>
      </c>
      <c r="BN19" s="733">
        <f>-9900-BM19-BL19</f>
        <v>-5411</v>
      </c>
      <c r="BO19" s="733">
        <f t="shared" si="6"/>
        <v>-4755</v>
      </c>
      <c r="BP19" s="732">
        <f>-14655</f>
        <v>-14655</v>
      </c>
      <c r="BQ19" s="733">
        <f>162</f>
        <v>162</v>
      </c>
      <c r="BR19" s="733">
        <f>-4609-BQ19</f>
        <v>-4771</v>
      </c>
      <c r="BS19" s="733">
        <f>-13402-SUM(BQ19:BR19)</f>
        <v>-8793</v>
      </c>
      <c r="BT19" s="733">
        <f>-7821-BS19-BR19-BQ19</f>
        <v>5581</v>
      </c>
      <c r="BU19" s="732">
        <f t="shared" si="16"/>
        <v>-7821</v>
      </c>
      <c r="BV19" s="733">
        <f>+-((BS!BV10-BS!BT10)+(BS!BV21-BS!BT21))</f>
        <v>1306.9374399999942</v>
      </c>
      <c r="BW19" s="733">
        <f>+-((BS!BW10-BS!BV10)+(BS!BW21-BS!BV21))</f>
        <v>-1813.5229199999958</v>
      </c>
      <c r="BX19" s="733">
        <f>+-((BS!BX10-BS!BW10)+(BS!BX21-BS!BW21))</f>
        <v>-11891.128978000001</v>
      </c>
      <c r="BY19" s="733">
        <f>+-((BS!BY10-BS!BX10)+(BS!BY21-BS!BX21))</f>
        <v>14195.145533725001</v>
      </c>
      <c r="BZ19" s="732">
        <f t="shared" si="17"/>
        <v>1797.4310757249987</v>
      </c>
      <c r="CA19" s="733">
        <f>+-((BS!CA10-BS!BY10)+(BS!CA21-BS!BY21))</f>
        <v>819.26287251619942</v>
      </c>
      <c r="CB19" s="733">
        <f>+-((BS!CB10-BS!CA10)+(BS!CB21-BS!CA21))</f>
        <v>-5640.2527412168274</v>
      </c>
      <c r="CC19" s="733">
        <f>+-((BS!CC10-BS!CB10)+(BS!CC21-BS!CB21))</f>
        <v>-258.0939326102598</v>
      </c>
      <c r="CD19" s="733">
        <f>+-((BS!CD10-BS!CC10)+(BS!CD21-BS!CC21))</f>
        <v>699.91756540394999</v>
      </c>
      <c r="CE19" s="732">
        <f t="shared" si="18"/>
        <v>-4379.1662359069378</v>
      </c>
    </row>
    <row r="20" spans="1:83" ht="12.75" hidden="1" outlineLevel="1">
      <c r="B20" s="175" t="s">
        <v>235</v>
      </c>
      <c r="C20" s="166"/>
      <c r="D20" s="183"/>
      <c r="E20" s="183"/>
      <c r="F20" s="183"/>
      <c r="G20" s="183"/>
      <c r="H20" s="182">
        <v>0</v>
      </c>
      <c r="I20" s="183"/>
      <c r="J20" s="183"/>
      <c r="K20" s="183"/>
      <c r="L20" s="183"/>
      <c r="M20" s="182">
        <v>0</v>
      </c>
      <c r="N20" s="182">
        <v>0</v>
      </c>
      <c r="O20" s="182">
        <v>0</v>
      </c>
      <c r="P20" s="182">
        <v>0</v>
      </c>
      <c r="Q20" s="182">
        <v>0</v>
      </c>
      <c r="R20" s="182">
        <v>0</v>
      </c>
      <c r="S20" s="182">
        <v>0</v>
      </c>
      <c r="T20" s="182">
        <v>0</v>
      </c>
      <c r="U20" s="182">
        <v>0</v>
      </c>
      <c r="V20" s="182">
        <v>0</v>
      </c>
      <c r="W20" s="562">
        <v>0</v>
      </c>
      <c r="X20" s="182">
        <v>0</v>
      </c>
      <c r="Y20" s="182">
        <v>0</v>
      </c>
      <c r="Z20" s="182">
        <v>0</v>
      </c>
      <c r="AA20" s="182">
        <v>-1200</v>
      </c>
      <c r="AB20" s="562">
        <v>-1200</v>
      </c>
      <c r="AC20" s="182">
        <v>0</v>
      </c>
      <c r="AD20" s="182">
        <f>0-AC20</f>
        <v>0</v>
      </c>
      <c r="AE20" s="182">
        <f>0-AD20-AC20</f>
        <v>0</v>
      </c>
      <c r="AF20" s="182">
        <f t="shared" si="8"/>
        <v>0</v>
      </c>
      <c r="AG20" s="562">
        <v>0</v>
      </c>
      <c r="AH20" s="182">
        <v>0</v>
      </c>
      <c r="AI20" s="182">
        <v>0</v>
      </c>
      <c r="AJ20" s="182">
        <v>0</v>
      </c>
      <c r="AK20" s="182">
        <f t="shared" si="0"/>
        <v>0</v>
      </c>
      <c r="AL20" s="562">
        <v>0</v>
      </c>
      <c r="AM20" s="182">
        <v>0</v>
      </c>
      <c r="AN20" s="182">
        <v>0</v>
      </c>
      <c r="AO20" s="182">
        <v>0</v>
      </c>
      <c r="AP20" s="182">
        <v>0</v>
      </c>
      <c r="AQ20" s="562">
        <f t="shared" si="1"/>
        <v>0</v>
      </c>
      <c r="AR20" s="182">
        <v>0</v>
      </c>
      <c r="AS20" s="182">
        <v>0</v>
      </c>
      <c r="AT20" s="182">
        <v>0</v>
      </c>
      <c r="AU20" s="182">
        <f>0</f>
        <v>0</v>
      </c>
      <c r="AV20" s="562">
        <f t="shared" si="2"/>
        <v>0</v>
      </c>
      <c r="AW20" s="182"/>
      <c r="AX20" s="182"/>
      <c r="AY20" s="182"/>
      <c r="AZ20" s="182"/>
      <c r="BA20" s="562">
        <f t="shared" ref="BA20:BA24" si="19">+SUM(AW20:AZ20)</f>
        <v>0</v>
      </c>
      <c r="BB20" s="182"/>
      <c r="BC20" s="182"/>
      <c r="BD20" s="182"/>
      <c r="BE20" s="182">
        <f t="shared" si="4"/>
        <v>0</v>
      </c>
      <c r="BF20" s="732"/>
      <c r="BG20" s="733"/>
      <c r="BH20" s="733"/>
      <c r="BI20" s="733">
        <f>+-(BS!BI20-BS!BH20)</f>
        <v>0</v>
      </c>
      <c r="BJ20" s="733">
        <f>BK20-BI20-BH20-BG20</f>
        <v>0</v>
      </c>
      <c r="BK20" s="732"/>
      <c r="BL20" s="733"/>
      <c r="BM20" s="733"/>
      <c r="BN20" s="733"/>
      <c r="BO20" s="733">
        <f>BP20-BN20-BM20-BL20</f>
        <v>0</v>
      </c>
      <c r="BP20" s="732"/>
      <c r="BQ20" s="733">
        <f>0</f>
        <v>0</v>
      </c>
      <c r="BR20" s="733">
        <f>+-(BS!BR20-BS!BQ20)</f>
        <v>0</v>
      </c>
      <c r="BS20" s="733">
        <f>+-(BS!BS20-BS!BR20)</f>
        <v>0</v>
      </c>
      <c r="BT20" s="733">
        <f t="shared" si="11"/>
        <v>0</v>
      </c>
      <c r="BU20" s="732">
        <f t="shared" si="16"/>
        <v>0</v>
      </c>
      <c r="BV20" s="733">
        <f>+-(BS!BV20-BS!BT20)</f>
        <v>0</v>
      </c>
      <c r="BW20" s="733">
        <f>+-(BS!BW20-BS!BV20)</f>
        <v>0</v>
      </c>
      <c r="BX20" s="733">
        <f>+-(BS!BX20-BS!BW20)</f>
        <v>0</v>
      </c>
      <c r="BY20" s="733">
        <f>+-(BS!BY20-BS!BX20)</f>
        <v>0</v>
      </c>
      <c r="BZ20" s="732">
        <f t="shared" si="17"/>
        <v>0</v>
      </c>
      <c r="CA20" s="733">
        <f>+-(BS!CA20-BS!BY20)</f>
        <v>0</v>
      </c>
      <c r="CB20" s="733">
        <f>+-(BS!CB20-BS!CA20)</f>
        <v>0</v>
      </c>
      <c r="CC20" s="733">
        <f>+-(BS!CC20-BS!CB20)</f>
        <v>0</v>
      </c>
      <c r="CD20" s="733">
        <f>+-(BS!CD20-BS!CC20)</f>
        <v>0</v>
      </c>
      <c r="CE20" s="732">
        <f t="shared" si="18"/>
        <v>0</v>
      </c>
    </row>
    <row r="21" spans="1:83" ht="12.75" collapsed="1">
      <c r="B21" s="175" t="s">
        <v>103</v>
      </c>
      <c r="C21" s="166"/>
      <c r="D21" s="183"/>
      <c r="E21" s="183"/>
      <c r="F21" s="183"/>
      <c r="G21" s="183"/>
      <c r="H21" s="182">
        <v>-242</v>
      </c>
      <c r="I21" s="183"/>
      <c r="J21" s="183"/>
      <c r="K21" s="183"/>
      <c r="L21" s="183"/>
      <c r="M21" s="182">
        <v>-112</v>
      </c>
      <c r="N21" s="182">
        <v>80</v>
      </c>
      <c r="O21" s="182">
        <v>-287</v>
      </c>
      <c r="P21" s="182">
        <v>159</v>
      </c>
      <c r="Q21" s="182">
        <v>2380</v>
      </c>
      <c r="R21" s="182">
        <v>2332</v>
      </c>
      <c r="S21" s="182">
        <v>-3609</v>
      </c>
      <c r="T21" s="182">
        <v>-1010</v>
      </c>
      <c r="U21" s="182">
        <v>1013</v>
      </c>
      <c r="V21" s="182">
        <v>313</v>
      </c>
      <c r="W21" s="562">
        <v>-3293</v>
      </c>
      <c r="X21" s="182">
        <v>2026</v>
      </c>
      <c r="Y21" s="182">
        <v>-2028</v>
      </c>
      <c r="Z21" s="182">
        <v>-875</v>
      </c>
      <c r="AA21" s="182">
        <v>-343</v>
      </c>
      <c r="AB21" s="562">
        <v>-1220</v>
      </c>
      <c r="AC21" s="182">
        <v>255</v>
      </c>
      <c r="AD21" s="182">
        <f>+-206-AC21</f>
        <v>-461</v>
      </c>
      <c r="AE21" s="182">
        <f>+-706-AD21-AC21</f>
        <v>-500</v>
      </c>
      <c r="AF21" s="182">
        <f t="shared" si="8"/>
        <v>252</v>
      </c>
      <c r="AG21" s="562">
        <v>-454</v>
      </c>
      <c r="AH21" s="182">
        <v>-302</v>
      </c>
      <c r="AI21" s="182">
        <f>+-331-AH21</f>
        <v>-29</v>
      </c>
      <c r="AJ21" s="182">
        <f>182-AI21-AH21</f>
        <v>513</v>
      </c>
      <c r="AK21" s="182">
        <f t="shared" si="0"/>
        <v>474</v>
      </c>
      <c r="AL21" s="562">
        <v>656</v>
      </c>
      <c r="AM21" s="182">
        <v>-1374</v>
      </c>
      <c r="AN21" s="182">
        <v>185</v>
      </c>
      <c r="AO21" s="182">
        <v>-147</v>
      </c>
      <c r="AP21" s="182">
        <v>260</v>
      </c>
      <c r="AQ21" s="562">
        <f t="shared" si="1"/>
        <v>-1076</v>
      </c>
      <c r="AR21" s="182">
        <v>-262</v>
      </c>
      <c r="AS21" s="182">
        <v>482</v>
      </c>
      <c r="AT21" s="182">
        <v>106</v>
      </c>
      <c r="AU21" s="182">
        <f>-389-AR21-AS21-AT21</f>
        <v>-715</v>
      </c>
      <c r="AV21" s="562">
        <f t="shared" si="2"/>
        <v>-389</v>
      </c>
      <c r="AW21" s="182">
        <f>107</f>
        <v>107</v>
      </c>
      <c r="AX21" s="182">
        <f>947-AW21</f>
        <v>840</v>
      </c>
      <c r="AY21" s="182">
        <f>200-AW21-AX21</f>
        <v>-747</v>
      </c>
      <c r="AZ21" s="182">
        <f t="shared" si="3"/>
        <v>-232</v>
      </c>
      <c r="BA21" s="562">
        <f>-32</f>
        <v>-32</v>
      </c>
      <c r="BB21" s="182">
        <f>599</f>
        <v>599</v>
      </c>
      <c r="BC21" s="182">
        <f>917-BB21</f>
        <v>318</v>
      </c>
      <c r="BD21" s="182">
        <f>841-BC21-BB21</f>
        <v>-76</v>
      </c>
      <c r="BE21" s="182">
        <f t="shared" si="4"/>
        <v>1266</v>
      </c>
      <c r="BF21" s="732">
        <f>2107</f>
        <v>2107</v>
      </c>
      <c r="BG21" s="733">
        <f>-1215</f>
        <v>-1215</v>
      </c>
      <c r="BH21" s="733">
        <f>-813-BG21</f>
        <v>402</v>
      </c>
      <c r="BI21" s="733">
        <f>-1428-BH21-BG21</f>
        <v>-615</v>
      </c>
      <c r="BJ21" s="733">
        <f t="shared" si="5"/>
        <v>-150</v>
      </c>
      <c r="BK21" s="732">
        <f>-1578</f>
        <v>-1578</v>
      </c>
      <c r="BL21" s="733">
        <f>-335</f>
        <v>-335</v>
      </c>
      <c r="BM21" s="733">
        <f>229-BL21</f>
        <v>564</v>
      </c>
      <c r="BN21" s="733">
        <f>391-BM21-BL21</f>
        <v>162</v>
      </c>
      <c r="BO21" s="733">
        <f t="shared" si="6"/>
        <v>-172</v>
      </c>
      <c r="BP21" s="732">
        <f>219</f>
        <v>219</v>
      </c>
      <c r="BQ21" s="733">
        <f>-66</f>
        <v>-66</v>
      </c>
      <c r="BR21" s="733">
        <f>699-BQ21</f>
        <v>765</v>
      </c>
      <c r="BS21" s="733">
        <f>591-SUM(BQ21:BR21)</f>
        <v>-108</v>
      </c>
      <c r="BT21" s="733">
        <f>27-BS21-BR21-BQ21</f>
        <v>-564</v>
      </c>
      <c r="BU21" s="732">
        <f t="shared" si="16"/>
        <v>27</v>
      </c>
      <c r="BV21" s="733">
        <f>+(BS!BV27-BS!BT27)</f>
        <v>340.13702222222241</v>
      </c>
      <c r="BW21" s="733">
        <f>+(BS!BW27-BS!BV27)</f>
        <v>347.85721777777758</v>
      </c>
      <c r="BX21" s="733">
        <f>+(BS!BX27-BS!BW27)</f>
        <v>21.461396666666587</v>
      </c>
      <c r="BY21" s="733">
        <f>+(BS!BY27-BS!BX27)</f>
        <v>26.57901000000038</v>
      </c>
      <c r="BZ21" s="732">
        <f t="shared" si="17"/>
        <v>736.03464666666696</v>
      </c>
      <c r="CA21" s="733">
        <f>+(BS!CA27-BS!BY27)</f>
        <v>-293.34551246666683</v>
      </c>
      <c r="CB21" s="733">
        <f>+(BS!CB27-BS!CA27)</f>
        <v>327.04735668000126</v>
      </c>
      <c r="CC21" s="733">
        <f>+(BS!CC27-BS!CB27)</f>
        <v>28.595745453331574</v>
      </c>
      <c r="CD21" s="733">
        <f>+(BS!CD27-BS!CC27)</f>
        <v>-12.28379233333203</v>
      </c>
      <c r="CE21" s="732">
        <f t="shared" si="18"/>
        <v>50.013797333333969</v>
      </c>
    </row>
    <row r="22" spans="1:83" ht="12.75">
      <c r="B22" s="175" t="s">
        <v>184</v>
      </c>
      <c r="C22" s="166"/>
      <c r="D22" s="183"/>
      <c r="E22" s="183"/>
      <c r="F22" s="183"/>
      <c r="G22" s="183"/>
      <c r="H22" s="182">
        <v>-1163</v>
      </c>
      <c r="I22" s="183"/>
      <c r="J22" s="183"/>
      <c r="K22" s="183"/>
      <c r="L22" s="183"/>
      <c r="M22" s="182">
        <v>303</v>
      </c>
      <c r="N22" s="182">
        <v>-593</v>
      </c>
      <c r="O22" s="182">
        <v>-25</v>
      </c>
      <c r="P22" s="182">
        <v>982</v>
      </c>
      <c r="Q22" s="182">
        <v>1258</v>
      </c>
      <c r="R22" s="182">
        <v>1622</v>
      </c>
      <c r="S22" s="182">
        <v>1690</v>
      </c>
      <c r="T22" s="182">
        <v>156</v>
      </c>
      <c r="U22" s="182">
        <v>889</v>
      </c>
      <c r="V22" s="182">
        <v>604</v>
      </c>
      <c r="W22" s="562">
        <v>3339</v>
      </c>
      <c r="X22" s="182">
        <v>2822</v>
      </c>
      <c r="Y22" s="182">
        <v>2064</v>
      </c>
      <c r="Z22" s="182">
        <v>1877</v>
      </c>
      <c r="AA22" s="182">
        <v>2933</v>
      </c>
      <c r="AB22" s="562">
        <v>9696</v>
      </c>
      <c r="AC22" s="182">
        <v>463</v>
      </c>
      <c r="AD22" s="182">
        <f>109-AC22</f>
        <v>-354</v>
      </c>
      <c r="AE22" s="182">
        <f>747-AD22-AC22</f>
        <v>638</v>
      </c>
      <c r="AF22" s="182">
        <f t="shared" si="8"/>
        <v>738</v>
      </c>
      <c r="AG22" s="562">
        <v>1485</v>
      </c>
      <c r="AH22" s="182">
        <v>4577</v>
      </c>
      <c r="AI22" s="182">
        <f>6238-AH22</f>
        <v>1661</v>
      </c>
      <c r="AJ22" s="182">
        <f>5803-AI22-AH22</f>
        <v>-435</v>
      </c>
      <c r="AK22" s="182">
        <f t="shared" si="0"/>
        <v>4719</v>
      </c>
      <c r="AL22" s="562">
        <v>10522</v>
      </c>
      <c r="AM22" s="182">
        <v>314</v>
      </c>
      <c r="AN22" s="182">
        <v>-435</v>
      </c>
      <c r="AO22" s="182">
        <v>1396</v>
      </c>
      <c r="AP22" s="182">
        <v>-803</v>
      </c>
      <c r="AQ22" s="562">
        <f t="shared" si="1"/>
        <v>472</v>
      </c>
      <c r="AR22" s="182">
        <v>253</v>
      </c>
      <c r="AS22" s="182">
        <v>-1225</v>
      </c>
      <c r="AT22" s="182">
        <v>1044</v>
      </c>
      <c r="AU22" s="182">
        <f>5126-AR22-AS22-AT22</f>
        <v>5054</v>
      </c>
      <c r="AV22" s="562">
        <f t="shared" si="2"/>
        <v>5126</v>
      </c>
      <c r="AW22" s="182">
        <f>1686</f>
        <v>1686</v>
      </c>
      <c r="AX22" s="182">
        <f>3032-AW22</f>
        <v>1346</v>
      </c>
      <c r="AY22" s="182">
        <f>9912-AW22-AX22</f>
        <v>6880</v>
      </c>
      <c r="AZ22" s="182">
        <f t="shared" si="3"/>
        <v>-590</v>
      </c>
      <c r="BA22" s="562">
        <f>9322</f>
        <v>9322</v>
      </c>
      <c r="BB22" s="182">
        <f>3435</f>
        <v>3435</v>
      </c>
      <c r="BC22" s="182">
        <f>3830-BB22</f>
        <v>395</v>
      </c>
      <c r="BD22" s="182">
        <f>3968-BC22-BB22</f>
        <v>138</v>
      </c>
      <c r="BE22" s="182">
        <f t="shared" si="4"/>
        <v>-101</v>
      </c>
      <c r="BF22" s="732">
        <f>3867</f>
        <v>3867</v>
      </c>
      <c r="BG22" s="733">
        <f>-2</f>
        <v>-2</v>
      </c>
      <c r="BH22" s="733">
        <f>8736-BG22</f>
        <v>8738</v>
      </c>
      <c r="BI22" s="733">
        <f>8211-BH22-BG22</f>
        <v>-525</v>
      </c>
      <c r="BJ22" s="733">
        <f t="shared" si="5"/>
        <v>-7760</v>
      </c>
      <c r="BK22" s="732">
        <f>451</f>
        <v>451</v>
      </c>
      <c r="BL22" s="733">
        <f>8892</f>
        <v>8892</v>
      </c>
      <c r="BM22" s="733">
        <f>-3215-BL22</f>
        <v>-12107</v>
      </c>
      <c r="BN22" s="733">
        <f>-1351-BM22-BL22</f>
        <v>1864</v>
      </c>
      <c r="BO22" s="733">
        <f t="shared" si="6"/>
        <v>4296</v>
      </c>
      <c r="BP22" s="732">
        <f>2945</f>
        <v>2945</v>
      </c>
      <c r="BQ22" s="733">
        <f>8265</f>
        <v>8265</v>
      </c>
      <c r="BR22" s="733">
        <f>3683-BQ22</f>
        <v>-4582</v>
      </c>
      <c r="BS22" s="733">
        <f>1568-SUM(BQ22:BR22)</f>
        <v>-2115</v>
      </c>
      <c r="BT22" s="733">
        <f>7195-BS22-BR22-BQ22</f>
        <v>5627</v>
      </c>
      <c r="BU22" s="732">
        <f t="shared" si="16"/>
        <v>7195</v>
      </c>
      <c r="BV22" s="733">
        <f>+(BS!BV28-BS!BT28)</f>
        <v>1374.5938400000014</v>
      </c>
      <c r="BW22" s="733">
        <f>+(BS!BW28-BS!BV28)</f>
        <v>-2428.7888050000038</v>
      </c>
      <c r="BX22" s="733">
        <f>+(BS!BX28-BS!BW28)</f>
        <v>1752.2808688000077</v>
      </c>
      <c r="BY22" s="733">
        <f>+(BS!BY28-BS!BX28)</f>
        <v>8274.0322520999907</v>
      </c>
      <c r="BZ22" s="732">
        <f t="shared" si="17"/>
        <v>8972.1181558999961</v>
      </c>
      <c r="CA22" s="733">
        <f>+(BS!CA28-BS!BY28)</f>
        <v>4034.0216545092117</v>
      </c>
      <c r="CB22" s="733">
        <f>+(BS!CB28-BS!CA28)</f>
        <v>-16063.191319189675</v>
      </c>
      <c r="CC22" s="733">
        <f>+(BS!CC28-BS!CB28)</f>
        <v>5818.5740064610654</v>
      </c>
      <c r="CD22" s="733">
        <f>+(BS!CD28-BS!CC28)</f>
        <v>11657.369435955967</v>
      </c>
      <c r="CE22" s="732">
        <f t="shared" si="18"/>
        <v>5446.7737777365692</v>
      </c>
    </row>
    <row r="23" spans="1:83" ht="12.75">
      <c r="B23" s="175" t="s">
        <v>316</v>
      </c>
      <c r="C23" s="166"/>
      <c r="D23" s="183"/>
      <c r="E23" s="183"/>
      <c r="F23" s="183"/>
      <c r="G23" s="183"/>
      <c r="H23" s="182">
        <v>13683</v>
      </c>
      <c r="I23" s="183"/>
      <c r="J23" s="183"/>
      <c r="K23" s="183"/>
      <c r="L23" s="183"/>
      <c r="M23" s="182">
        <v>11281</v>
      </c>
      <c r="N23" s="182">
        <v>3924</v>
      </c>
      <c r="O23" s="182">
        <v>316</v>
      </c>
      <c r="P23" s="182">
        <v>2667</v>
      </c>
      <c r="Q23" s="182">
        <v>7910</v>
      </c>
      <c r="R23" s="182">
        <v>14817</v>
      </c>
      <c r="S23" s="182">
        <v>6782</v>
      </c>
      <c r="T23" s="182">
        <v>-871</v>
      </c>
      <c r="U23" s="182">
        <v>4701</v>
      </c>
      <c r="V23" s="182">
        <v>10766</v>
      </c>
      <c r="W23" s="562">
        <v>21378</v>
      </c>
      <c r="X23" s="182">
        <v>2059</v>
      </c>
      <c r="Y23" s="182">
        <v>2178</v>
      </c>
      <c r="Z23" s="182">
        <v>6616</v>
      </c>
      <c r="AA23" s="182">
        <v>7050</v>
      </c>
      <c r="AB23" s="562">
        <v>17903</v>
      </c>
      <c r="AC23" s="182">
        <v>8012</v>
      </c>
      <c r="AD23" s="182">
        <f>10947-AC23</f>
        <v>2935</v>
      </c>
      <c r="AE23" s="182">
        <f>17716-AD23-AC23</f>
        <v>6769</v>
      </c>
      <c r="AF23" s="182">
        <f t="shared" si="8"/>
        <v>12114</v>
      </c>
      <c r="AG23" s="562">
        <v>29830</v>
      </c>
      <c r="AH23" s="182">
        <v>2330</v>
      </c>
      <c r="AI23" s="182">
        <f>4424-AH23</f>
        <v>2094</v>
      </c>
      <c r="AJ23" s="182">
        <f>12351-AI23-AH23</f>
        <v>7927</v>
      </c>
      <c r="AK23" s="182">
        <f t="shared" si="0"/>
        <v>12374</v>
      </c>
      <c r="AL23" s="562">
        <v>24725</v>
      </c>
      <c r="AM23" s="182">
        <v>9855</v>
      </c>
      <c r="AN23" s="182">
        <v>2542</v>
      </c>
      <c r="AO23" s="182">
        <v>3016</v>
      </c>
      <c r="AP23" s="182">
        <v>12647</v>
      </c>
      <c r="AQ23" s="562">
        <f t="shared" si="1"/>
        <v>28060</v>
      </c>
      <c r="AR23" s="182">
        <v>10577</v>
      </c>
      <c r="AS23" s="182">
        <v>-4882</v>
      </c>
      <c r="AT23" s="182">
        <v>638</v>
      </c>
      <c r="AU23" s="182">
        <f>30927-AR23-AS23-AT23</f>
        <v>24594</v>
      </c>
      <c r="AV23" s="562">
        <f t="shared" si="2"/>
        <v>30927</v>
      </c>
      <c r="AW23" s="182">
        <f>3874</f>
        <v>3874</v>
      </c>
      <c r="AX23" s="182">
        <f>12827-AW23</f>
        <v>8953</v>
      </c>
      <c r="AY23" s="182">
        <f>21033-AW23-AX23</f>
        <v>8206</v>
      </c>
      <c r="AZ23" s="182">
        <f t="shared" si="3"/>
        <v>25558</v>
      </c>
      <c r="BA23" s="562">
        <f>46591</f>
        <v>46591</v>
      </c>
      <c r="BB23" s="182">
        <f>7426</f>
        <v>7426</v>
      </c>
      <c r="BC23" s="182">
        <f>13458-BB23</f>
        <v>6032</v>
      </c>
      <c r="BD23" s="182">
        <f>12504-BC23-BB23</f>
        <v>-954</v>
      </c>
      <c r="BE23" s="182">
        <f t="shared" si="4"/>
        <v>12685</v>
      </c>
      <c r="BF23" s="732">
        <f>25189</f>
        <v>25189</v>
      </c>
      <c r="BG23" s="733">
        <f>1228</f>
        <v>1228</v>
      </c>
      <c r="BH23" s="733">
        <f>20002-BG23</f>
        <v>18774</v>
      </c>
      <c r="BI23" s="733">
        <f>22248-BH23-BG23</f>
        <v>2246</v>
      </c>
      <c r="BJ23" s="733">
        <f t="shared" si="5"/>
        <v>25472</v>
      </c>
      <c r="BK23" s="732">
        <f>47720</f>
        <v>47720</v>
      </c>
      <c r="BL23" s="733">
        <f>-1498</f>
        <v>-1498</v>
      </c>
      <c r="BM23" s="733">
        <f>-11792-BL23</f>
        <v>-10294</v>
      </c>
      <c r="BN23" s="733">
        <f>-4001-BM23-BL23</f>
        <v>7791</v>
      </c>
      <c r="BO23" s="733">
        <f t="shared" si="6"/>
        <v>34785</v>
      </c>
      <c r="BP23" s="732">
        <f>30784</f>
        <v>30784</v>
      </c>
      <c r="BQ23" s="733">
        <f>-6825</f>
        <v>-6825</v>
      </c>
      <c r="BR23" s="733">
        <f>-21522-BQ23</f>
        <v>-14697</v>
      </c>
      <c r="BS23" s="733">
        <f>-7910-SUM(BQ23:BR23)</f>
        <v>13612</v>
      </c>
      <c r="BT23" s="733">
        <f>21690-BS23-BR23-BQ23</f>
        <v>29600</v>
      </c>
      <c r="BU23" s="732">
        <f t="shared" si="16"/>
        <v>21690</v>
      </c>
      <c r="BV23" s="733">
        <f>+(BS!BV29-BS!BT29)+(BS!BV35-BS!BT35)</f>
        <v>-4794.2299999999595</v>
      </c>
      <c r="BW23" s="733">
        <f>+(BS!BW29-BS!BV29)+(BS!BW35-BS!BV35)</f>
        <v>-12636.76149999999</v>
      </c>
      <c r="BX23" s="733">
        <f>+(BS!BX29-BS!BW29)+(BS!BX35-BS!BW35)</f>
        <v>17991.523284999967</v>
      </c>
      <c r="BY23" s="733">
        <f>+(BS!BY29-BS!BX29)+(BS!BY35-BS!BX35)</f>
        <v>30185.229517849948</v>
      </c>
      <c r="BZ23" s="732">
        <f t="shared" si="17"/>
        <v>30745.761302849965</v>
      </c>
      <c r="CA23" s="733">
        <f>+(BS!CA29-BS!BY29)+(BS!CA35-BS!BY35)</f>
        <v>-7479.1729630283735</v>
      </c>
      <c r="CB23" s="733">
        <f>+(BS!CB29-BS!CA29)+(BS!CB35-BS!CA35)</f>
        <v>-13529.559060601823</v>
      </c>
      <c r="CC23" s="733">
        <f>+(BS!CC29-BS!CB29)+(BS!CC35-BS!CB35)</f>
        <v>19242.623416792212</v>
      </c>
      <c r="CD23" s="733">
        <f>+(BS!CD29-BS!CC29)+(BS!CD35-BS!CC35)</f>
        <v>32289.806020960066</v>
      </c>
      <c r="CE23" s="732">
        <f t="shared" si="18"/>
        <v>30523.697414122082</v>
      </c>
    </row>
    <row r="24" spans="1:83" ht="12.75" hidden="1" outlineLevel="1">
      <c r="B24" s="175" t="s">
        <v>317</v>
      </c>
      <c r="C24" s="166"/>
      <c r="D24" s="183"/>
      <c r="E24" s="183"/>
      <c r="F24" s="183"/>
      <c r="G24" s="183"/>
      <c r="H24" s="182">
        <v>181</v>
      </c>
      <c r="I24" s="183"/>
      <c r="J24" s="183"/>
      <c r="K24" s="183"/>
      <c r="L24" s="183"/>
      <c r="M24" s="182">
        <v>0</v>
      </c>
      <c r="N24" s="182">
        <v>0</v>
      </c>
      <c r="O24" s="182">
        <v>0</v>
      </c>
      <c r="P24" s="182">
        <v>0</v>
      </c>
      <c r="Q24" s="182">
        <v>0</v>
      </c>
      <c r="R24" s="182">
        <v>0</v>
      </c>
      <c r="S24" s="182">
        <v>0</v>
      </c>
      <c r="T24" s="182">
        <v>0</v>
      </c>
      <c r="U24" s="182">
        <v>0</v>
      </c>
      <c r="V24" s="182">
        <v>0</v>
      </c>
      <c r="W24" s="562">
        <v>0</v>
      </c>
      <c r="X24" s="182">
        <v>0</v>
      </c>
      <c r="Y24" s="182">
        <v>0</v>
      </c>
      <c r="Z24" s="182">
        <v>0</v>
      </c>
      <c r="AA24" s="182">
        <v>0</v>
      </c>
      <c r="AB24" s="562">
        <v>0</v>
      </c>
      <c r="AC24" s="182">
        <v>0</v>
      </c>
      <c r="AD24" s="182">
        <f>0-AC24</f>
        <v>0</v>
      </c>
      <c r="AE24" s="182">
        <f>0-AD24-AC24</f>
        <v>0</v>
      </c>
      <c r="AF24" s="182">
        <f t="shared" si="8"/>
        <v>0</v>
      </c>
      <c r="AG24" s="562">
        <v>0</v>
      </c>
      <c r="AH24" s="182">
        <v>0</v>
      </c>
      <c r="AI24" s="182">
        <v>0</v>
      </c>
      <c r="AJ24" s="182">
        <v>0</v>
      </c>
      <c r="AK24" s="182">
        <f t="shared" si="0"/>
        <v>0</v>
      </c>
      <c r="AL24" s="562">
        <v>0</v>
      </c>
      <c r="AM24" s="182">
        <v>0</v>
      </c>
      <c r="AN24" s="182">
        <v>0</v>
      </c>
      <c r="AO24" s="182">
        <v>0</v>
      </c>
      <c r="AP24" s="182">
        <v>0</v>
      </c>
      <c r="AQ24" s="562">
        <f t="shared" si="1"/>
        <v>0</v>
      </c>
      <c r="AR24" s="182">
        <v>0</v>
      </c>
      <c r="AS24" s="182">
        <v>0</v>
      </c>
      <c r="AT24" s="182">
        <v>0</v>
      </c>
      <c r="AU24" s="182">
        <f>0</f>
        <v>0</v>
      </c>
      <c r="AV24" s="562">
        <f t="shared" si="2"/>
        <v>0</v>
      </c>
      <c r="AW24" s="182">
        <f>+(BS!AW36-BS!AU36)</f>
        <v>0</v>
      </c>
      <c r="AX24" s="182"/>
      <c r="AY24" s="182"/>
      <c r="AZ24" s="182"/>
      <c r="BA24" s="562">
        <f t="shared" si="19"/>
        <v>0</v>
      </c>
      <c r="BB24" s="182">
        <f>+(BS!BB36-BS!AZ36)</f>
        <v>0</v>
      </c>
      <c r="BC24" s="182"/>
      <c r="BD24" s="182"/>
      <c r="BE24" s="182">
        <f t="shared" si="4"/>
        <v>0</v>
      </c>
      <c r="BF24" s="732"/>
      <c r="BG24" s="733"/>
      <c r="BH24" s="733"/>
      <c r="BI24" s="733">
        <f>+(BS!BI36-BS!BH36)</f>
        <v>0</v>
      </c>
      <c r="BJ24" s="733">
        <f t="shared" si="5"/>
        <v>0</v>
      </c>
      <c r="BK24" s="732"/>
      <c r="BL24" s="733"/>
      <c r="BM24" s="733"/>
      <c r="BN24" s="733"/>
      <c r="BO24" s="733">
        <f t="shared" si="6"/>
        <v>0</v>
      </c>
      <c r="BP24" s="732"/>
      <c r="BQ24" s="733">
        <f>+(BS!BQ36-BS!BO36)</f>
        <v>0</v>
      </c>
      <c r="BR24" s="733">
        <f>+(BS!BR36-BS!BQ36)</f>
        <v>0</v>
      </c>
      <c r="BS24" s="733">
        <f>+(BS!BS36-BS!BR36)</f>
        <v>0</v>
      </c>
      <c r="BT24" s="733">
        <f t="shared" si="11"/>
        <v>0</v>
      </c>
      <c r="BU24" s="732">
        <f t="shared" si="16"/>
        <v>0</v>
      </c>
      <c r="BV24" s="733">
        <f>+(BS!BV36-BS!BT36)</f>
        <v>0</v>
      </c>
      <c r="BW24" s="733">
        <f>+(BS!BW36-BS!BV36)</f>
        <v>0</v>
      </c>
      <c r="BX24" s="733">
        <f>+(BS!BX36-BS!BW36)</f>
        <v>0</v>
      </c>
      <c r="BY24" s="733">
        <f>+(BS!BY36-BS!BX36)</f>
        <v>0</v>
      </c>
      <c r="BZ24" s="732">
        <f t="shared" si="17"/>
        <v>0</v>
      </c>
      <c r="CA24" s="733">
        <f>+(BS!CA36-BS!BY36)</f>
        <v>0</v>
      </c>
      <c r="CB24" s="733">
        <f>+(BS!CB36-BS!CA36)</f>
        <v>0</v>
      </c>
      <c r="CC24" s="733">
        <f>+(BS!CC36-BS!CB36)</f>
        <v>0</v>
      </c>
      <c r="CD24" s="733">
        <f>+(BS!CD36-BS!CC36)</f>
        <v>0</v>
      </c>
      <c r="CE24" s="732">
        <f t="shared" si="18"/>
        <v>0</v>
      </c>
    </row>
    <row r="25" spans="1:83" ht="12.75" collapsed="1">
      <c r="B25" s="175" t="s">
        <v>318</v>
      </c>
      <c r="C25" s="166"/>
      <c r="D25" s="183"/>
      <c r="E25" s="183"/>
      <c r="F25" s="183"/>
      <c r="G25" s="183"/>
      <c r="H25" s="182">
        <v>84</v>
      </c>
      <c r="I25" s="183"/>
      <c r="J25" s="183"/>
      <c r="K25" s="183"/>
      <c r="L25" s="183"/>
      <c r="M25" s="182">
        <v>164</v>
      </c>
      <c r="N25" s="182">
        <v>71</v>
      </c>
      <c r="O25" s="182">
        <v>30</v>
      </c>
      <c r="P25" s="182">
        <v>-2</v>
      </c>
      <c r="Q25" s="182">
        <v>-300</v>
      </c>
      <c r="R25" s="182">
        <v>-201</v>
      </c>
      <c r="S25" s="182">
        <v>70</v>
      </c>
      <c r="T25" s="182">
        <v>73</v>
      </c>
      <c r="U25" s="182">
        <v>39</v>
      </c>
      <c r="V25" s="182">
        <v>47</v>
      </c>
      <c r="W25" s="562">
        <v>229</v>
      </c>
      <c r="X25" s="182">
        <v>406</v>
      </c>
      <c r="Y25" s="182">
        <v>279</v>
      </c>
      <c r="Z25" s="182">
        <v>503</v>
      </c>
      <c r="AA25" s="182">
        <v>267</v>
      </c>
      <c r="AB25" s="562">
        <v>1455</v>
      </c>
      <c r="AC25" s="182">
        <v>10</v>
      </c>
      <c r="AD25" s="182">
        <f>477-AC25</f>
        <v>467</v>
      </c>
      <c r="AE25" s="182">
        <f>1190-AD25-AC25</f>
        <v>713</v>
      </c>
      <c r="AF25" s="182">
        <f t="shared" si="8"/>
        <v>6153</v>
      </c>
      <c r="AG25" s="562">
        <v>7343</v>
      </c>
      <c r="AH25" s="182">
        <v>-1072</v>
      </c>
      <c r="AI25" s="182">
        <f>+-1026-AH25</f>
        <v>46</v>
      </c>
      <c r="AJ25" s="182">
        <f>+-1804-AI25-AH25</f>
        <v>-778</v>
      </c>
      <c r="AK25" s="182">
        <f t="shared" si="0"/>
        <v>-102</v>
      </c>
      <c r="AL25" s="562">
        <v>-1906</v>
      </c>
      <c r="AM25" s="182">
        <v>-32</v>
      </c>
      <c r="AN25" s="182">
        <v>185</v>
      </c>
      <c r="AO25" s="182">
        <v>7</v>
      </c>
      <c r="AP25" s="182">
        <v>0</v>
      </c>
      <c r="AQ25" s="562">
        <f t="shared" si="1"/>
        <v>160</v>
      </c>
      <c r="AR25" s="182">
        <v>0</v>
      </c>
      <c r="AS25" s="182">
        <v>0</v>
      </c>
      <c r="AT25" s="182">
        <v>0</v>
      </c>
      <c r="AU25" s="182">
        <f>0</f>
        <v>0</v>
      </c>
      <c r="AV25" s="562">
        <f t="shared" si="2"/>
        <v>0</v>
      </c>
      <c r="AW25" s="182">
        <f>0</f>
        <v>0</v>
      </c>
      <c r="AX25" s="182">
        <f>0-AW25</f>
        <v>0</v>
      </c>
      <c r="AY25" s="182">
        <f>0-AW25-AX25</f>
        <v>0</v>
      </c>
      <c r="AZ25" s="182">
        <v>0</v>
      </c>
      <c r="BA25" s="562">
        <v>0</v>
      </c>
      <c r="BB25" s="182"/>
      <c r="BC25" s="182"/>
      <c r="BD25" s="182"/>
      <c r="BE25" s="182">
        <f t="shared" si="4"/>
        <v>0</v>
      </c>
      <c r="BF25" s="732">
        <f>0</f>
        <v>0</v>
      </c>
      <c r="BG25" s="733"/>
      <c r="BH25" s="733">
        <f>533-BG25</f>
        <v>533</v>
      </c>
      <c r="BI25" s="733">
        <f>533-BH25-BG25</f>
        <v>0</v>
      </c>
      <c r="BJ25" s="733">
        <f t="shared" si="5"/>
        <v>0</v>
      </c>
      <c r="BK25" s="732">
        <f>533</f>
        <v>533</v>
      </c>
      <c r="BL25" s="733">
        <v>0</v>
      </c>
      <c r="BM25" s="733">
        <f>0</f>
        <v>0</v>
      </c>
      <c r="BN25" s="733">
        <f>0</f>
        <v>0</v>
      </c>
      <c r="BO25" s="733">
        <f t="shared" si="6"/>
        <v>0</v>
      </c>
      <c r="BP25" s="732"/>
      <c r="BQ25" s="733">
        <f>0</f>
        <v>0</v>
      </c>
      <c r="BR25" s="733">
        <f>0-BQ25</f>
        <v>0</v>
      </c>
      <c r="BS25" s="733">
        <f>0</f>
        <v>0</v>
      </c>
      <c r="BT25" s="733">
        <f>0</f>
        <v>0</v>
      </c>
      <c r="BU25" s="732">
        <f t="shared" si="16"/>
        <v>0</v>
      </c>
      <c r="BV25" s="733">
        <f>+(BS!BV39-BS!BT39)</f>
        <v>0</v>
      </c>
      <c r="BW25" s="733">
        <f>+(BS!BW39-BS!BV39)</f>
        <v>0</v>
      </c>
      <c r="BX25" s="733">
        <f>+(BS!BX39-BS!BW39)</f>
        <v>0</v>
      </c>
      <c r="BY25" s="733">
        <f>+(BS!BY39-BS!BX39)</f>
        <v>0</v>
      </c>
      <c r="BZ25" s="732">
        <f t="shared" si="17"/>
        <v>0</v>
      </c>
      <c r="CA25" s="733">
        <f>+(BS!CA39-BS!BY39)</f>
        <v>0</v>
      </c>
      <c r="CB25" s="733">
        <f>+(BS!CB39-BS!CA39)</f>
        <v>0</v>
      </c>
      <c r="CC25" s="733">
        <f>+(BS!CC39-BS!CB39)</f>
        <v>0</v>
      </c>
      <c r="CD25" s="733">
        <f>+(BS!CD39-BS!CC39)</f>
        <v>0</v>
      </c>
      <c r="CE25" s="732">
        <f t="shared" si="18"/>
        <v>0</v>
      </c>
    </row>
    <row r="26" spans="1:83" ht="3.75" customHeight="1">
      <c r="B26" s="293"/>
      <c r="C26" s="294"/>
      <c r="D26" s="192" t="s">
        <v>0</v>
      </c>
      <c r="E26" s="192" t="s">
        <v>0</v>
      </c>
      <c r="F26" s="192" t="s">
        <v>0</v>
      </c>
      <c r="G26" s="192" t="s">
        <v>0</v>
      </c>
      <c r="H26" s="188" t="s">
        <v>0</v>
      </c>
      <c r="I26" s="192" t="s">
        <v>0</v>
      </c>
      <c r="J26" s="192" t="s">
        <v>0</v>
      </c>
      <c r="K26" s="192" t="s">
        <v>0</v>
      </c>
      <c r="L26" s="192" t="s">
        <v>0</v>
      </c>
      <c r="M26" s="188" t="s">
        <v>0</v>
      </c>
      <c r="N26" s="192" t="s">
        <v>0</v>
      </c>
      <c r="O26" s="192" t="s">
        <v>0</v>
      </c>
      <c r="P26" s="192" t="s">
        <v>0</v>
      </c>
      <c r="Q26" s="192" t="s">
        <v>0</v>
      </c>
      <c r="R26" s="188" t="s">
        <v>0</v>
      </c>
      <c r="S26" s="188" t="s">
        <v>0</v>
      </c>
      <c r="T26" s="188" t="s">
        <v>0</v>
      </c>
      <c r="U26" s="188" t="s">
        <v>0</v>
      </c>
      <c r="V26" s="188" t="s">
        <v>0</v>
      </c>
      <c r="W26" s="596" t="s">
        <v>0</v>
      </c>
      <c r="X26" s="188" t="s">
        <v>0</v>
      </c>
      <c r="Y26" s="188" t="s">
        <v>0</v>
      </c>
      <c r="Z26" s="188" t="s">
        <v>0</v>
      </c>
      <c r="AA26" s="188" t="s">
        <v>0</v>
      </c>
      <c r="AB26" s="596" t="s">
        <v>0</v>
      </c>
      <c r="AC26" s="188" t="s">
        <v>0</v>
      </c>
      <c r="AD26" s="188" t="s">
        <v>0</v>
      </c>
      <c r="AE26" s="188" t="s">
        <v>0</v>
      </c>
      <c r="AF26" s="188" t="s">
        <v>0</v>
      </c>
      <c r="AG26" s="596" t="s">
        <v>0</v>
      </c>
      <c r="AH26" s="188" t="s">
        <v>0</v>
      </c>
      <c r="AI26" s="188" t="s">
        <v>0</v>
      </c>
      <c r="AJ26" s="188" t="s">
        <v>0</v>
      </c>
      <c r="AK26" s="188" t="s">
        <v>0</v>
      </c>
      <c r="AL26" s="596" t="s">
        <v>0</v>
      </c>
      <c r="AM26" s="188" t="s">
        <v>0</v>
      </c>
      <c r="AN26" s="188" t="s">
        <v>0</v>
      </c>
      <c r="AO26" s="188" t="s">
        <v>0</v>
      </c>
      <c r="AP26" s="188" t="s">
        <v>0</v>
      </c>
      <c r="AQ26" s="596" t="s">
        <v>0</v>
      </c>
      <c r="AR26" s="188" t="s">
        <v>0</v>
      </c>
      <c r="AS26" s="188" t="s">
        <v>0</v>
      </c>
      <c r="AT26" s="188" t="s">
        <v>0</v>
      </c>
      <c r="AU26" s="188" t="s">
        <v>0</v>
      </c>
      <c r="AV26" s="596" t="s">
        <v>0</v>
      </c>
      <c r="AW26" s="188" t="s">
        <v>0</v>
      </c>
      <c r="AX26" s="188" t="s">
        <v>0</v>
      </c>
      <c r="AY26" s="188" t="s">
        <v>0</v>
      </c>
      <c r="AZ26" s="188" t="s">
        <v>0</v>
      </c>
      <c r="BA26" s="596" t="s">
        <v>0</v>
      </c>
      <c r="BB26" s="188" t="s">
        <v>0</v>
      </c>
      <c r="BC26" s="188" t="s">
        <v>0</v>
      </c>
      <c r="BD26" s="188" t="s">
        <v>0</v>
      </c>
      <c r="BE26" s="188" t="s">
        <v>0</v>
      </c>
      <c r="BF26" s="734" t="s">
        <v>0</v>
      </c>
      <c r="BG26" s="735" t="s">
        <v>0</v>
      </c>
      <c r="BH26" s="735" t="s">
        <v>0</v>
      </c>
      <c r="BI26" s="735" t="s">
        <v>0</v>
      </c>
      <c r="BJ26" s="735" t="s">
        <v>0</v>
      </c>
      <c r="BK26" s="734" t="s">
        <v>0</v>
      </c>
      <c r="BL26" s="735" t="s">
        <v>0</v>
      </c>
      <c r="BM26" s="735" t="s">
        <v>0</v>
      </c>
      <c r="BN26" s="735" t="s">
        <v>0</v>
      </c>
      <c r="BO26" s="735" t="s">
        <v>0</v>
      </c>
      <c r="BP26" s="734" t="s">
        <v>0</v>
      </c>
      <c r="BQ26" s="735" t="s">
        <v>0</v>
      </c>
      <c r="BR26" s="735" t="s">
        <v>0</v>
      </c>
      <c r="BS26" s="735" t="s">
        <v>0</v>
      </c>
      <c r="BT26" s="735" t="s">
        <v>0</v>
      </c>
      <c r="BU26" s="734" t="s">
        <v>0</v>
      </c>
      <c r="BV26" s="735" t="s">
        <v>0</v>
      </c>
      <c r="BW26" s="735" t="s">
        <v>0</v>
      </c>
      <c r="BX26" s="735" t="s">
        <v>0</v>
      </c>
      <c r="BY26" s="735" t="s">
        <v>0</v>
      </c>
      <c r="BZ26" s="734" t="s">
        <v>0</v>
      </c>
      <c r="CA26" s="735" t="s">
        <v>0</v>
      </c>
      <c r="CB26" s="735" t="s">
        <v>0</v>
      </c>
      <c r="CC26" s="735" t="s">
        <v>0</v>
      </c>
      <c r="CD26" s="735" t="s">
        <v>0</v>
      </c>
      <c r="CE26" s="734" t="s">
        <v>0</v>
      </c>
    </row>
    <row r="27" spans="1:83" ht="13.15">
      <c r="B27" s="190" t="s">
        <v>384</v>
      </c>
      <c r="C27" s="179"/>
      <c r="D27" s="179">
        <f t="shared" ref="D27:AI27" si="20">SUM(D7:D25)</f>
        <v>0</v>
      </c>
      <c r="E27" s="179">
        <f t="shared" si="20"/>
        <v>0</v>
      </c>
      <c r="F27" s="179">
        <f t="shared" si="20"/>
        <v>0</v>
      </c>
      <c r="G27" s="179">
        <f t="shared" si="20"/>
        <v>0</v>
      </c>
      <c r="H27" s="179">
        <f t="shared" si="20"/>
        <v>21952</v>
      </c>
      <c r="I27" s="179">
        <f t="shared" si="20"/>
        <v>0</v>
      </c>
      <c r="J27" s="179">
        <f t="shared" si="20"/>
        <v>0</v>
      </c>
      <c r="K27" s="179">
        <f t="shared" si="20"/>
        <v>0</v>
      </c>
      <c r="L27" s="179">
        <f t="shared" si="20"/>
        <v>0</v>
      </c>
      <c r="M27" s="179">
        <f t="shared" si="20"/>
        <v>25146</v>
      </c>
      <c r="N27" s="179">
        <f t="shared" si="20"/>
        <v>15075</v>
      </c>
      <c r="O27" s="179">
        <f t="shared" si="20"/>
        <v>100</v>
      </c>
      <c r="P27" s="179">
        <f t="shared" si="20"/>
        <v>9910</v>
      </c>
      <c r="Q27" s="179">
        <f t="shared" si="20"/>
        <v>16338</v>
      </c>
      <c r="R27" s="179">
        <f t="shared" si="20"/>
        <v>41423</v>
      </c>
      <c r="S27" s="179">
        <f t="shared" si="20"/>
        <v>10026</v>
      </c>
      <c r="T27" s="179">
        <f t="shared" si="20"/>
        <v>15524</v>
      </c>
      <c r="U27" s="179">
        <f t="shared" si="20"/>
        <v>16118</v>
      </c>
      <c r="V27" s="179">
        <f t="shared" si="20"/>
        <v>24292</v>
      </c>
      <c r="W27" s="555">
        <f t="shared" si="20"/>
        <v>65960</v>
      </c>
      <c r="X27" s="179">
        <f t="shared" si="20"/>
        <v>17138</v>
      </c>
      <c r="Y27" s="179">
        <f t="shared" si="20"/>
        <v>17323</v>
      </c>
      <c r="Z27" s="179">
        <f t="shared" si="20"/>
        <v>20243</v>
      </c>
      <c r="AA27" s="179">
        <f t="shared" si="20"/>
        <v>13406</v>
      </c>
      <c r="AB27" s="555">
        <f t="shared" si="20"/>
        <v>68110</v>
      </c>
      <c r="AC27" s="179">
        <f t="shared" si="20"/>
        <v>32425</v>
      </c>
      <c r="AD27" s="179">
        <f t="shared" si="20"/>
        <v>16517</v>
      </c>
      <c r="AE27" s="179">
        <f t="shared" si="20"/>
        <v>32837</v>
      </c>
      <c r="AF27" s="179">
        <f t="shared" si="20"/>
        <v>25867</v>
      </c>
      <c r="AG27" s="555">
        <f t="shared" si="20"/>
        <v>107646</v>
      </c>
      <c r="AH27" s="179">
        <f t="shared" si="20"/>
        <v>42989</v>
      </c>
      <c r="AI27" s="179">
        <f t="shared" si="20"/>
        <v>24238</v>
      </c>
      <c r="AJ27" s="179">
        <f t="shared" ref="AJ27:AZ27" si="21">SUM(AJ7:AJ25)</f>
        <v>31593</v>
      </c>
      <c r="AK27" s="179">
        <f t="shared" si="21"/>
        <v>28982</v>
      </c>
      <c r="AL27" s="555">
        <f t="shared" si="21"/>
        <v>127802</v>
      </c>
      <c r="AM27" s="179">
        <f t="shared" si="21"/>
        <v>44347</v>
      </c>
      <c r="AN27" s="179">
        <f t="shared" si="21"/>
        <v>36928</v>
      </c>
      <c r="AO27" s="179">
        <f t="shared" si="21"/>
        <v>45674</v>
      </c>
      <c r="AP27" s="179">
        <f t="shared" si="21"/>
        <v>33658</v>
      </c>
      <c r="AQ27" s="555">
        <f t="shared" si="21"/>
        <v>160607</v>
      </c>
      <c r="AR27" s="179">
        <f t="shared" si="21"/>
        <v>52435</v>
      </c>
      <c r="AS27" s="179">
        <f t="shared" si="21"/>
        <v>29214</v>
      </c>
      <c r="AT27" s="179">
        <f t="shared" si="21"/>
        <v>59648</v>
      </c>
      <c r="AU27" s="179">
        <f t="shared" si="21"/>
        <v>38789</v>
      </c>
      <c r="AV27" s="555">
        <f t="shared" si="21"/>
        <v>180086</v>
      </c>
      <c r="AW27" s="179">
        <f t="shared" si="21"/>
        <v>57854</v>
      </c>
      <c r="AX27" s="179">
        <f t="shared" si="21"/>
        <v>54386</v>
      </c>
      <c r="AY27" s="179">
        <f t="shared" si="21"/>
        <v>48501</v>
      </c>
      <c r="AZ27" s="179">
        <f t="shared" si="21"/>
        <v>39875</v>
      </c>
      <c r="BA27" s="555">
        <f>200616</f>
        <v>200616</v>
      </c>
      <c r="BB27" s="179">
        <f t="shared" ref="BB27:BF27" si="22">SUM(BB7:BB25)</f>
        <v>79040</v>
      </c>
      <c r="BC27" s="179">
        <f t="shared" si="22"/>
        <v>33811</v>
      </c>
      <c r="BD27" s="179">
        <f t="shared" si="22"/>
        <v>42159</v>
      </c>
      <c r="BE27" s="179">
        <f t="shared" si="22"/>
        <v>43844</v>
      </c>
      <c r="BF27" s="736">
        <f t="shared" si="22"/>
        <v>198854</v>
      </c>
      <c r="BG27" s="737">
        <f t="shared" ref="BG27:BJ27" si="23">SUM(BG7:BG25)</f>
        <v>66813</v>
      </c>
      <c r="BH27" s="737">
        <f t="shared" si="23"/>
        <v>51515</v>
      </c>
      <c r="BI27" s="737">
        <f t="shared" si="23"/>
        <v>92438</v>
      </c>
      <c r="BJ27" s="737">
        <f t="shared" si="23"/>
        <v>33839</v>
      </c>
      <c r="BK27" s="736">
        <f>SUM(BK7:BK25)</f>
        <v>244605</v>
      </c>
      <c r="BL27" s="737">
        <f t="shared" ref="BL27:BP27" si="24">SUM(BL7:BL25)</f>
        <v>85505</v>
      </c>
      <c r="BM27" s="737">
        <f t="shared" si="24"/>
        <v>49824</v>
      </c>
      <c r="BN27" s="737">
        <f t="shared" si="24"/>
        <v>61043</v>
      </c>
      <c r="BO27" s="737">
        <f t="shared" si="24"/>
        <v>47722</v>
      </c>
      <c r="BP27" s="736">
        <f t="shared" si="24"/>
        <v>244094</v>
      </c>
      <c r="BQ27" s="737">
        <f t="shared" ref="BQ27:BU27" si="25">SUM(BQ7:BQ25)</f>
        <v>109588</v>
      </c>
      <c r="BR27" s="737">
        <f t="shared" si="25"/>
        <v>33771</v>
      </c>
      <c r="BS27" s="737">
        <f t="shared" si="25"/>
        <v>90382</v>
      </c>
      <c r="BT27" s="737">
        <f t="shared" si="25"/>
        <v>75659</v>
      </c>
      <c r="BU27" s="736">
        <f t="shared" si="25"/>
        <v>309400</v>
      </c>
      <c r="BV27" s="737">
        <f t="shared" ref="BV27:BZ27" si="26">SUM(BV7:BV25)</f>
        <v>110180.35937983336</v>
      </c>
      <c r="BW27" s="737">
        <f t="shared" si="26"/>
        <v>43924.930507416721</v>
      </c>
      <c r="BX27" s="737">
        <f t="shared" si="26"/>
        <v>89352.00063421941</v>
      </c>
      <c r="BY27" s="737">
        <f t="shared" si="26"/>
        <v>64348.359254537696</v>
      </c>
      <c r="BZ27" s="736">
        <f t="shared" si="26"/>
        <v>307805.64977600728</v>
      </c>
      <c r="CA27" s="737">
        <f t="shared" ref="CA27:CE27" si="27">SUM(CA7:CA25)</f>
        <v>119556.68542492829</v>
      </c>
      <c r="CB27" s="737">
        <f t="shared" si="27"/>
        <v>34765.024182888264</v>
      </c>
      <c r="CC27" s="737">
        <f t="shared" si="27"/>
        <v>109997.21478251538</v>
      </c>
      <c r="CD27" s="737">
        <f t="shared" si="27"/>
        <v>68547.591994155446</v>
      </c>
      <c r="CE27" s="736">
        <f t="shared" si="27"/>
        <v>332866.51638448733</v>
      </c>
    </row>
    <row r="28" spans="1:83" ht="4.5" customHeight="1">
      <c r="B28" s="291"/>
      <c r="C28" s="166"/>
      <c r="D28" s="183"/>
      <c r="E28" s="183"/>
      <c r="F28" s="183"/>
      <c r="G28" s="183"/>
      <c r="H28" s="182"/>
      <c r="I28" s="183"/>
      <c r="J28" s="183"/>
      <c r="K28" s="183"/>
      <c r="L28" s="183"/>
      <c r="M28" s="182"/>
      <c r="N28" s="183"/>
      <c r="O28" s="183"/>
      <c r="P28" s="183"/>
      <c r="Q28" s="183"/>
      <c r="R28" s="182"/>
      <c r="S28" s="182"/>
      <c r="T28" s="182"/>
      <c r="U28" s="182"/>
      <c r="V28" s="182"/>
      <c r="W28" s="562"/>
      <c r="X28" s="182"/>
      <c r="Y28" s="182"/>
      <c r="Z28" s="182"/>
      <c r="AA28" s="182"/>
      <c r="AB28" s="562"/>
      <c r="AC28" s="182"/>
      <c r="AD28" s="182"/>
      <c r="AE28" s="182"/>
      <c r="AF28" s="182"/>
      <c r="AG28" s="562"/>
      <c r="AH28" s="182"/>
      <c r="AI28" s="182"/>
      <c r="AJ28" s="182"/>
      <c r="AK28" s="182"/>
      <c r="AL28" s="562"/>
      <c r="AM28" s="182"/>
      <c r="AN28" s="182"/>
      <c r="AO28" s="182"/>
      <c r="AP28" s="182"/>
      <c r="AQ28" s="562"/>
      <c r="AR28" s="182"/>
      <c r="AS28" s="182"/>
      <c r="AT28" s="182"/>
      <c r="AU28" s="182"/>
      <c r="AV28" s="562"/>
      <c r="AW28" s="182"/>
      <c r="AX28" s="182"/>
      <c r="AY28" s="182"/>
      <c r="AZ28" s="182"/>
      <c r="BA28" s="562"/>
      <c r="BB28" s="182"/>
      <c r="BC28" s="182"/>
      <c r="BD28" s="182"/>
      <c r="BE28" s="182"/>
      <c r="BF28" s="732"/>
      <c r="BG28" s="733"/>
      <c r="BH28" s="733"/>
      <c r="BI28" s="733"/>
      <c r="BJ28" s="733"/>
      <c r="BK28" s="732"/>
      <c r="BL28" s="733"/>
      <c r="BM28" s="733"/>
      <c r="BN28" s="733"/>
      <c r="BO28" s="733"/>
      <c r="BP28" s="732"/>
      <c r="BQ28" s="733"/>
      <c r="BR28" s="733"/>
      <c r="BS28" s="733"/>
      <c r="BT28" s="733"/>
      <c r="BU28" s="732"/>
      <c r="BV28" s="733"/>
      <c r="BW28" s="733"/>
      <c r="BX28" s="733"/>
      <c r="BY28" s="733"/>
      <c r="BZ28" s="732"/>
      <c r="CA28" s="733"/>
      <c r="CB28" s="733"/>
      <c r="CC28" s="733"/>
      <c r="CD28" s="733"/>
      <c r="CE28" s="732"/>
    </row>
    <row r="29" spans="1:83" ht="13.15">
      <c r="B29" s="292" t="s">
        <v>114</v>
      </c>
      <c r="C29" s="166"/>
      <c r="D29" s="183"/>
      <c r="E29" s="183"/>
      <c r="F29" s="183"/>
      <c r="G29" s="183"/>
      <c r="H29" s="182"/>
      <c r="I29" s="183"/>
      <c r="J29" s="183"/>
      <c r="K29" s="183"/>
      <c r="L29" s="183"/>
      <c r="M29" s="182"/>
      <c r="N29" s="183"/>
      <c r="O29" s="183"/>
      <c r="P29" s="183"/>
      <c r="Q29" s="183"/>
      <c r="R29" s="182"/>
      <c r="S29" s="182"/>
      <c r="T29" s="182"/>
      <c r="U29" s="182"/>
      <c r="V29" s="182"/>
      <c r="W29" s="562"/>
      <c r="X29" s="182"/>
      <c r="Y29" s="182"/>
      <c r="Z29" s="182"/>
      <c r="AA29" s="182"/>
      <c r="AB29" s="562"/>
      <c r="AC29" s="182"/>
      <c r="AD29" s="182"/>
      <c r="AE29" s="182"/>
      <c r="AF29" s="182"/>
      <c r="AG29" s="562"/>
      <c r="AH29" s="182"/>
      <c r="AI29" s="182"/>
      <c r="AJ29" s="182"/>
      <c r="AK29" s="182"/>
      <c r="AL29" s="562"/>
      <c r="AM29" s="182"/>
      <c r="AN29" s="182"/>
      <c r="AO29" s="182"/>
      <c r="AP29" s="182"/>
      <c r="AQ29" s="562"/>
      <c r="AR29" s="182"/>
      <c r="AS29" s="182"/>
      <c r="AT29" s="182"/>
      <c r="AU29" s="182"/>
      <c r="AV29" s="562"/>
      <c r="AW29" s="182"/>
      <c r="AX29" s="182"/>
      <c r="AY29" s="182"/>
      <c r="AZ29" s="182"/>
      <c r="BA29" s="562"/>
      <c r="BB29" s="182"/>
      <c r="BC29" s="182"/>
      <c r="BD29" s="182"/>
      <c r="BE29" s="182"/>
      <c r="BF29" s="732"/>
      <c r="BG29" s="733"/>
      <c r="BH29" s="733"/>
      <c r="BI29" s="733"/>
      <c r="BJ29" s="733"/>
      <c r="BK29" s="732"/>
      <c r="BL29" s="733"/>
      <c r="BM29" s="733"/>
      <c r="BN29" s="733"/>
      <c r="BO29" s="733"/>
      <c r="BP29" s="732"/>
      <c r="BQ29" s="733"/>
      <c r="BR29" s="733"/>
      <c r="BS29" s="733"/>
      <c r="BT29" s="733"/>
      <c r="BU29" s="732"/>
      <c r="BV29" s="733"/>
      <c r="BW29" s="733"/>
      <c r="BX29" s="733"/>
      <c r="BY29" s="733"/>
      <c r="BZ29" s="732"/>
      <c r="CA29" s="733"/>
      <c r="CB29" s="733"/>
      <c r="CC29" s="733"/>
      <c r="CD29" s="733"/>
      <c r="CE29" s="732"/>
    </row>
    <row r="30" spans="1:83" ht="12.75">
      <c r="B30" s="175" t="s">
        <v>319</v>
      </c>
      <c r="C30" s="166"/>
      <c r="D30" s="182"/>
      <c r="E30" s="182"/>
      <c r="F30" s="182"/>
      <c r="G30" s="182"/>
      <c r="H30" s="182">
        <v>-83547</v>
      </c>
      <c r="I30" s="182"/>
      <c r="J30" s="182"/>
      <c r="K30" s="182"/>
      <c r="L30" s="182"/>
      <c r="M30" s="182">
        <v>-145263</v>
      </c>
      <c r="N30" s="182">
        <v>-47451</v>
      </c>
      <c r="O30" s="182">
        <v>-29456</v>
      </c>
      <c r="P30" s="182">
        <v>-40372</v>
      </c>
      <c r="Q30" s="182">
        <v>-40381</v>
      </c>
      <c r="R30" s="182">
        <v>-157660</v>
      </c>
      <c r="S30" s="182">
        <v>-31781</v>
      </c>
      <c r="T30" s="182">
        <v>-29661</v>
      </c>
      <c r="U30" s="182">
        <v>-27252</v>
      </c>
      <c r="V30" s="182">
        <v>-58013</v>
      </c>
      <c r="W30" s="562">
        <v>-146707</v>
      </c>
      <c r="X30" s="182">
        <v>-49450</v>
      </c>
      <c r="Y30" s="182">
        <v>-37914</v>
      </c>
      <c r="Z30" s="182">
        <v>-92797</v>
      </c>
      <c r="AA30" s="182">
        <v>-42792</v>
      </c>
      <c r="AB30" s="562">
        <v>-222953</v>
      </c>
      <c r="AC30" s="182">
        <v>-60201</v>
      </c>
      <c r="AD30" s="182">
        <f>+-102665-AC30</f>
        <v>-42464</v>
      </c>
      <c r="AE30" s="182">
        <f>+-198866-AD30-AC30</f>
        <v>-96201</v>
      </c>
      <c r="AF30" s="182">
        <f t="shared" ref="AF30:AF31" si="28">+AG30-SUM(AC30:AE30)</f>
        <v>-101025</v>
      </c>
      <c r="AG30" s="562">
        <v>-299891</v>
      </c>
      <c r="AH30" s="182">
        <v>-72176</v>
      </c>
      <c r="AI30" s="182">
        <f>+-151825-AH30</f>
        <v>-79649</v>
      </c>
      <c r="AJ30" s="182">
        <f>+-242056-AI30-AH30</f>
        <v>-90231</v>
      </c>
      <c r="AK30" s="182">
        <f t="shared" ref="AK30:AK36" si="29">+AL30-SUM(AH30:AJ30)</f>
        <v>-97806</v>
      </c>
      <c r="AL30" s="562">
        <v>-339862</v>
      </c>
      <c r="AM30" s="182">
        <v>-66224</v>
      </c>
      <c r="AN30" s="182">
        <v>-118605</v>
      </c>
      <c r="AO30" s="182">
        <v>-74457</v>
      </c>
      <c r="AP30" s="182">
        <v>-71845</v>
      </c>
      <c r="AQ30" s="562">
        <f t="shared" ref="AQ30:AQ36" si="30">+SUM(AM30:AP30)</f>
        <v>-331131</v>
      </c>
      <c r="AR30" s="182">
        <v>-85567</v>
      </c>
      <c r="AS30" s="182">
        <v>-77345</v>
      </c>
      <c r="AT30" s="182">
        <v>-127622</v>
      </c>
      <c r="AU30" s="182">
        <f>-391693-AR30-AS30-AT30</f>
        <v>-101159</v>
      </c>
      <c r="AV30" s="562">
        <f t="shared" ref="AV30:AV32" si="31">+SUM(AR30:AU30)</f>
        <v>-391693</v>
      </c>
      <c r="AW30" s="182">
        <f>-115610</f>
        <v>-115610</v>
      </c>
      <c r="AX30" s="182">
        <f>-201411-AW30</f>
        <v>-85801</v>
      </c>
      <c r="AY30" s="182">
        <f>-255051-AW30-AX30</f>
        <v>-53640</v>
      </c>
      <c r="AZ30" s="182">
        <f t="shared" ref="AZ30:AZ35" si="32">BA30-AY30-AX30-AW30</f>
        <v>-113399</v>
      </c>
      <c r="BA30" s="562">
        <f>-368450</f>
        <v>-368450</v>
      </c>
      <c r="BB30" s="182">
        <f>-81800</f>
        <v>-81800</v>
      </c>
      <c r="BC30" s="182">
        <f>-177171-BB30</f>
        <v>-95371</v>
      </c>
      <c r="BD30" s="182">
        <f>-178788-BC30-BB30</f>
        <v>-1617</v>
      </c>
      <c r="BE30" s="182">
        <f t="shared" ref="BE30:BE36" si="33">BF30-SUM(BB30:BD30)</f>
        <v>0</v>
      </c>
      <c r="BF30" s="732">
        <f>-178788</f>
        <v>-178788</v>
      </c>
      <c r="BG30" s="733">
        <f>-46010</f>
        <v>-46010</v>
      </c>
      <c r="BH30" s="733">
        <f>-159392-BG30</f>
        <v>-113382</v>
      </c>
      <c r="BI30" s="733">
        <f>-252438-BH30-BG30</f>
        <v>-93046</v>
      </c>
      <c r="BJ30" s="733">
        <f>BK30-BI30-BH30-BG30</f>
        <v>-54374</v>
      </c>
      <c r="BK30" s="732">
        <f>-306812</f>
        <v>-306812</v>
      </c>
      <c r="BL30" s="733">
        <f>-61340</f>
        <v>-61340</v>
      </c>
      <c r="BM30" s="733">
        <f>-191812-BL30</f>
        <v>-130472</v>
      </c>
      <c r="BN30" s="733">
        <f>-305952-BM30-BL30</f>
        <v>-114140</v>
      </c>
      <c r="BO30" s="733">
        <f t="shared" ref="BO30:BO32" si="34">BP30-BN30-BM30-BL30</f>
        <v>-62325</v>
      </c>
      <c r="BP30" s="732">
        <f>-368277</f>
        <v>-368277</v>
      </c>
      <c r="BQ30" s="733">
        <f>-55525</f>
        <v>-55525</v>
      </c>
      <c r="BR30" s="733">
        <f>-183545-BQ30</f>
        <v>-128020</v>
      </c>
      <c r="BS30" s="733">
        <f>-275379-SUM(BQ30:BR30)</f>
        <v>-91834</v>
      </c>
      <c r="BT30" s="733">
        <f>-349150-BS30-BR30-BQ30</f>
        <v>-73771</v>
      </c>
      <c r="BU30" s="732">
        <f t="shared" ref="BU30:BU31" si="35">+SUM(BQ30:BT30)</f>
        <v>-349150</v>
      </c>
      <c r="BV30" s="733">
        <f>0</f>
        <v>0</v>
      </c>
      <c r="BW30" s="733">
        <f>0</f>
        <v>0</v>
      </c>
      <c r="BX30" s="733">
        <f>0</f>
        <v>0</v>
      </c>
      <c r="BY30" s="733">
        <f>0</f>
        <v>0</v>
      </c>
      <c r="BZ30" s="732">
        <f t="shared" ref="BZ30:BZ31" si="36">+SUM(BV30:BY30)</f>
        <v>0</v>
      </c>
      <c r="CA30" s="733">
        <f>0</f>
        <v>0</v>
      </c>
      <c r="CB30" s="733">
        <f>0</f>
        <v>0</v>
      </c>
      <c r="CC30" s="733">
        <f>0</f>
        <v>0</v>
      </c>
      <c r="CD30" s="733">
        <f>0</f>
        <v>0</v>
      </c>
      <c r="CE30" s="732">
        <f t="shared" ref="CE30:CE31" si="37">+SUM(CA30:CD30)</f>
        <v>0</v>
      </c>
    </row>
    <row r="31" spans="1:83" ht="12.75">
      <c r="B31" s="175" t="s">
        <v>320</v>
      </c>
      <c r="C31" s="166"/>
      <c r="D31" s="182"/>
      <c r="E31" s="182"/>
      <c r="F31" s="182"/>
      <c r="G31" s="182"/>
      <c r="H31" s="182">
        <v>0</v>
      </c>
      <c r="I31" s="182"/>
      <c r="J31" s="182"/>
      <c r="K31" s="182"/>
      <c r="L31" s="182"/>
      <c r="M31" s="182">
        <v>138124</v>
      </c>
      <c r="N31" s="182">
        <v>41062</v>
      </c>
      <c r="O31" s="182">
        <v>23898</v>
      </c>
      <c r="P31" s="182">
        <v>79258</v>
      </c>
      <c r="Q31" s="182">
        <v>13121</v>
      </c>
      <c r="R31" s="182">
        <v>157339</v>
      </c>
      <c r="S31" s="182">
        <v>25977</v>
      </c>
      <c r="T31" s="182">
        <v>22237</v>
      </c>
      <c r="U31" s="182">
        <v>25126</v>
      </c>
      <c r="V31" s="182">
        <v>32169</v>
      </c>
      <c r="W31" s="562">
        <v>105509</v>
      </c>
      <c r="X31" s="182">
        <v>52176</v>
      </c>
      <c r="Y31" s="182">
        <v>22980</v>
      </c>
      <c r="Z31" s="182">
        <v>58552</v>
      </c>
      <c r="AA31" s="182">
        <v>16000</v>
      </c>
      <c r="AB31" s="562">
        <v>149708</v>
      </c>
      <c r="AC31" s="182">
        <v>63738</v>
      </c>
      <c r="AD31" s="182">
        <f>111288-AC31</f>
        <v>47550</v>
      </c>
      <c r="AE31" s="182">
        <f>148025-AD31-AC31</f>
        <v>36737</v>
      </c>
      <c r="AF31" s="182">
        <f t="shared" si="28"/>
        <v>83971</v>
      </c>
      <c r="AG31" s="562">
        <v>231996</v>
      </c>
      <c r="AH31" s="182">
        <v>40080</v>
      </c>
      <c r="AI31" s="182">
        <f>120838-AH31</f>
        <v>80758</v>
      </c>
      <c r="AJ31" s="182">
        <f>218865-AI31-AH31</f>
        <v>98027</v>
      </c>
      <c r="AK31" s="182">
        <f t="shared" si="29"/>
        <v>66358</v>
      </c>
      <c r="AL31" s="562">
        <v>285223</v>
      </c>
      <c r="AM31" s="182">
        <v>91046</v>
      </c>
      <c r="AN31" s="182">
        <v>102224</v>
      </c>
      <c r="AO31" s="182">
        <v>70604</v>
      </c>
      <c r="AP31" s="182">
        <v>64476</v>
      </c>
      <c r="AQ31" s="562">
        <f t="shared" si="30"/>
        <v>328350</v>
      </c>
      <c r="AR31" s="182">
        <v>129651</v>
      </c>
      <c r="AS31" s="182">
        <v>34458</v>
      </c>
      <c r="AT31" s="182">
        <v>99187</v>
      </c>
      <c r="AU31" s="182">
        <f>341879-AR31-AS31-AT31</f>
        <v>78583</v>
      </c>
      <c r="AV31" s="562">
        <f t="shared" si="31"/>
        <v>341879</v>
      </c>
      <c r="AW31" s="182">
        <f>145044</f>
        <v>145044</v>
      </c>
      <c r="AX31" s="182">
        <f>205143-AW31</f>
        <v>60099</v>
      </c>
      <c r="AY31" s="182">
        <f>295336-AW31-AX31</f>
        <v>90193</v>
      </c>
      <c r="AZ31" s="182">
        <f t="shared" si="32"/>
        <v>69230</v>
      </c>
      <c r="BA31" s="562">
        <f>363941+625</f>
        <v>364566</v>
      </c>
      <c r="BB31" s="182">
        <f>84915</f>
        <v>84915</v>
      </c>
      <c r="BC31" s="182">
        <f>173922-BB31</f>
        <v>89007</v>
      </c>
      <c r="BD31" s="182">
        <f>290949-BC31-BB31</f>
        <v>117027</v>
      </c>
      <c r="BE31" s="182">
        <f t="shared" si="33"/>
        <v>56888</v>
      </c>
      <c r="BF31" s="732">
        <f>347837</f>
        <v>347837</v>
      </c>
      <c r="BG31" s="733">
        <f>69709</f>
        <v>69709</v>
      </c>
      <c r="BH31" s="733">
        <f>167120-BG31</f>
        <v>97411</v>
      </c>
      <c r="BI31" s="733">
        <f>212202-BH31-BG31</f>
        <v>45082</v>
      </c>
      <c r="BJ31" s="733">
        <f t="shared" ref="BJ31:BJ36" si="38">BK31-BI31-BH31-BG31</f>
        <v>30230</v>
      </c>
      <c r="BK31" s="732">
        <f>242432</f>
        <v>242432</v>
      </c>
      <c r="BL31" s="733">
        <f>71463</f>
        <v>71463</v>
      </c>
      <c r="BM31" s="733">
        <f>198250-BL31</f>
        <v>126787</v>
      </c>
      <c r="BN31" s="733">
        <f>252940-BM31-BL31</f>
        <v>54690</v>
      </c>
      <c r="BO31" s="733">
        <f t="shared" si="34"/>
        <v>56244</v>
      </c>
      <c r="BP31" s="732">
        <f>309184</f>
        <v>309184</v>
      </c>
      <c r="BQ31" s="733">
        <f>50532</f>
        <v>50532</v>
      </c>
      <c r="BR31" s="733">
        <f>100770-BQ31</f>
        <v>50238</v>
      </c>
      <c r="BS31" s="733">
        <f>182322-SUM(BQ31:BR31)</f>
        <v>81552</v>
      </c>
      <c r="BT31" s="733">
        <f>248216-BS31-BR31-BQ31</f>
        <v>65894</v>
      </c>
      <c r="BU31" s="732">
        <f t="shared" si="35"/>
        <v>248216</v>
      </c>
      <c r="BV31" s="733">
        <f>0</f>
        <v>0</v>
      </c>
      <c r="BW31" s="733">
        <f>0</f>
        <v>0</v>
      </c>
      <c r="BX31" s="733">
        <f>0</f>
        <v>0</v>
      </c>
      <c r="BY31" s="733">
        <f>0</f>
        <v>0</v>
      </c>
      <c r="BZ31" s="732">
        <f t="shared" si="36"/>
        <v>0</v>
      </c>
      <c r="CA31" s="733">
        <f>0</f>
        <v>0</v>
      </c>
      <c r="CB31" s="733">
        <f>0</f>
        <v>0</v>
      </c>
      <c r="CC31" s="733">
        <f>0</f>
        <v>0</v>
      </c>
      <c r="CD31" s="733">
        <f>0</f>
        <v>0</v>
      </c>
      <c r="CE31" s="732">
        <f t="shared" si="37"/>
        <v>0</v>
      </c>
    </row>
    <row r="32" spans="1:83" ht="12.75">
      <c r="A32" s="3" t="s">
        <v>353</v>
      </c>
      <c r="B32" s="175" t="s">
        <v>321</v>
      </c>
      <c r="C32" s="166"/>
      <c r="D32" s="182"/>
      <c r="E32" s="182"/>
      <c r="F32" s="182"/>
      <c r="G32" s="182"/>
      <c r="H32" s="182">
        <v>-11188</v>
      </c>
      <c r="I32" s="182"/>
      <c r="J32" s="182"/>
      <c r="K32" s="182"/>
      <c r="L32" s="182"/>
      <c r="M32" s="182">
        <v>-13663</v>
      </c>
      <c r="N32" s="182">
        <v>-3778</v>
      </c>
      <c r="O32" s="182">
        <v>-2717</v>
      </c>
      <c r="P32" s="182">
        <v>-3757</v>
      </c>
      <c r="Q32" s="182">
        <v>-3662</v>
      </c>
      <c r="R32" s="182">
        <v>-13914</v>
      </c>
      <c r="S32" s="182">
        <v>-6148</v>
      </c>
      <c r="T32" s="182">
        <v>-4259</v>
      </c>
      <c r="U32" s="182">
        <v>-4458</v>
      </c>
      <c r="V32" s="182">
        <v>-5186</v>
      </c>
      <c r="W32" s="562">
        <v>-20051</v>
      </c>
      <c r="X32" s="182">
        <v>-4181</v>
      </c>
      <c r="Y32" s="182">
        <v>-4785</v>
      </c>
      <c r="Z32" s="182">
        <v>-9843</v>
      </c>
      <c r="AA32" s="182">
        <v>-4436</v>
      </c>
      <c r="AB32" s="562">
        <v>-23245</v>
      </c>
      <c r="AC32" s="182">
        <v>-4543</v>
      </c>
      <c r="AD32" s="182">
        <f>+-13179-AC32</f>
        <v>-8636</v>
      </c>
      <c r="AE32" s="182">
        <f>+-26612-AD32-AC32</f>
        <v>-13433</v>
      </c>
      <c r="AF32" s="182">
        <f t="shared" ref="AF32:AF36" si="39">+AG32-SUM(AC32:AE32)</f>
        <v>-11206</v>
      </c>
      <c r="AG32" s="562">
        <v>-37818</v>
      </c>
      <c r="AH32" s="182">
        <v>-5985</v>
      </c>
      <c r="AI32" s="182">
        <f>+-13240-AH32</f>
        <v>-7255</v>
      </c>
      <c r="AJ32" s="182">
        <f>+-19496-AI32-AH32</f>
        <v>-6256</v>
      </c>
      <c r="AK32" s="182">
        <f t="shared" si="29"/>
        <v>-5616</v>
      </c>
      <c r="AL32" s="562">
        <v>-25112</v>
      </c>
      <c r="AM32" s="182">
        <v>-8608</v>
      </c>
      <c r="AN32" s="182">
        <v>-5530</v>
      </c>
      <c r="AO32" s="182">
        <v>-5335</v>
      </c>
      <c r="AP32" s="182">
        <v>-8100</v>
      </c>
      <c r="AQ32" s="562">
        <f t="shared" si="30"/>
        <v>-27573</v>
      </c>
      <c r="AR32" s="182">
        <v>-7271</v>
      </c>
      <c r="AS32" s="182">
        <v>-4297</v>
      </c>
      <c r="AT32" s="182">
        <v>-11174</v>
      </c>
      <c r="AU32" s="182">
        <f>-30037-AR32-AS32-AT32</f>
        <v>-7295</v>
      </c>
      <c r="AV32" s="562">
        <f t="shared" si="31"/>
        <v>-30037</v>
      </c>
      <c r="AW32" s="182">
        <f>-6259</f>
        <v>-6259</v>
      </c>
      <c r="AX32" s="182">
        <f>-12911-AW32</f>
        <v>-6652</v>
      </c>
      <c r="AY32" s="182">
        <f>-20089-AW32-AX32</f>
        <v>-7178</v>
      </c>
      <c r="AZ32" s="182">
        <f t="shared" si="32"/>
        <v>-4335</v>
      </c>
      <c r="BA32" s="562">
        <f>-24424</f>
        <v>-24424</v>
      </c>
      <c r="BB32" s="182">
        <f>-7639</f>
        <v>-7639</v>
      </c>
      <c r="BC32" s="182">
        <f>-11150-BB32</f>
        <v>-3511</v>
      </c>
      <c r="BD32" s="182">
        <f>-12391-BC32-BB32</f>
        <v>-1241</v>
      </c>
      <c r="BE32" s="182">
        <f t="shared" si="33"/>
        <v>-2970</v>
      </c>
      <c r="BF32" s="732">
        <f>-15361</f>
        <v>-15361</v>
      </c>
      <c r="BG32" s="733">
        <f>-4037</f>
        <v>-4037</v>
      </c>
      <c r="BH32" s="733">
        <f>-5455-BG32</f>
        <v>-1418</v>
      </c>
      <c r="BI32" s="733">
        <f>-7263-BH32-BG32</f>
        <v>-1808</v>
      </c>
      <c r="BJ32" s="733">
        <f t="shared" si="38"/>
        <v>-1523</v>
      </c>
      <c r="BK32" s="732">
        <f>-8786</f>
        <v>-8786</v>
      </c>
      <c r="BL32" s="733">
        <f>-2051</f>
        <v>-2051</v>
      </c>
      <c r="BM32" s="733">
        <f>-3077-BL32</f>
        <v>-1026</v>
      </c>
      <c r="BN32" s="733">
        <f>-6497-BM32-BL32</f>
        <v>-3420</v>
      </c>
      <c r="BO32" s="733">
        <f t="shared" si="34"/>
        <v>-5837</v>
      </c>
      <c r="BP32" s="732">
        <f>-12334</f>
        <v>-12334</v>
      </c>
      <c r="BQ32" s="733">
        <f>-2038</f>
        <v>-2038</v>
      </c>
      <c r="BR32" s="733">
        <f>-3365-BQ32</f>
        <v>-1327</v>
      </c>
      <c r="BS32" s="733">
        <f>-4266-SUM(BQ32:BR32)</f>
        <v>-901</v>
      </c>
      <c r="BT32" s="733">
        <f>-4990-BS32-BR32-BQ32</f>
        <v>-724</v>
      </c>
      <c r="BU32" s="732">
        <f>+BS!BU83*-1</f>
        <v>-4990</v>
      </c>
      <c r="BV32" s="733">
        <f>+BS!BV83*-1</f>
        <v>-1908.3945650000001</v>
      </c>
      <c r="BW32" s="733">
        <f>+BS!BW83*-1</f>
        <v>-2657.8044000000004</v>
      </c>
      <c r="BX32" s="733">
        <f>+BS!BX83*-1</f>
        <v>-2739.3472499999998</v>
      </c>
      <c r="BY32" s="733">
        <f>+BS!BY83*-1</f>
        <v>-2813.2761</v>
      </c>
      <c r="BZ32" s="732">
        <f>+BS!BZ83*-1</f>
        <v>-10118.822315000001</v>
      </c>
      <c r="CA32" s="733">
        <f>+BS!CA83*-1</f>
        <v>-1873.6964820000003</v>
      </c>
      <c r="CB32" s="733">
        <f>+BS!CB83*-1</f>
        <v>-1895.9004720000003</v>
      </c>
      <c r="CC32" s="733">
        <f>+BS!CC83*-1</f>
        <v>-1935.80539</v>
      </c>
      <c r="CD32" s="733">
        <f>+BS!CD83*-1</f>
        <v>-1988.0484440000002</v>
      </c>
      <c r="CE32" s="732">
        <f>+BS!CE83*-1</f>
        <v>-7693.4507880000001</v>
      </c>
    </row>
    <row r="33" spans="1:83" ht="12.75" hidden="1" outlineLevel="1">
      <c r="B33" s="175" t="s">
        <v>322</v>
      </c>
      <c r="C33" s="166"/>
      <c r="D33" s="182"/>
      <c r="E33" s="182"/>
      <c r="F33" s="182"/>
      <c r="G33" s="182"/>
      <c r="H33" s="182">
        <v>0</v>
      </c>
      <c r="I33" s="182"/>
      <c r="J33" s="182"/>
      <c r="K33" s="182"/>
      <c r="L33" s="182"/>
      <c r="M33" s="182">
        <v>0</v>
      </c>
      <c r="N33" s="182">
        <v>0</v>
      </c>
      <c r="O33" s="182">
        <v>0</v>
      </c>
      <c r="P33" s="182">
        <v>0</v>
      </c>
      <c r="Q33" s="182">
        <v>-98</v>
      </c>
      <c r="R33" s="182">
        <v>-98</v>
      </c>
      <c r="S33" s="182">
        <v>-99</v>
      </c>
      <c r="T33" s="182">
        <v>0</v>
      </c>
      <c r="U33" s="182">
        <v>0</v>
      </c>
      <c r="V33" s="182">
        <v>0</v>
      </c>
      <c r="W33" s="562">
        <v>-99</v>
      </c>
      <c r="X33" s="182">
        <v>-118</v>
      </c>
      <c r="Y33" s="182">
        <v>118</v>
      </c>
      <c r="Z33" s="182">
        <v>0</v>
      </c>
      <c r="AA33" s="182">
        <v>0</v>
      </c>
      <c r="AB33" s="562">
        <v>0</v>
      </c>
      <c r="AC33" s="182">
        <v>0</v>
      </c>
      <c r="AD33" s="182">
        <f>0-AC33</f>
        <v>0</v>
      </c>
      <c r="AE33" s="182">
        <f>0-AD33-AC33</f>
        <v>0</v>
      </c>
      <c r="AF33" s="182">
        <f t="shared" si="39"/>
        <v>0</v>
      </c>
      <c r="AG33" s="562">
        <v>0</v>
      </c>
      <c r="AH33" s="182">
        <v>0</v>
      </c>
      <c r="AI33" s="182">
        <v>0</v>
      </c>
      <c r="AJ33" s="182">
        <v>0</v>
      </c>
      <c r="AK33" s="182">
        <f t="shared" si="29"/>
        <v>0</v>
      </c>
      <c r="AL33" s="562">
        <v>0</v>
      </c>
      <c r="AM33" s="182">
        <v>0</v>
      </c>
      <c r="AN33" s="182">
        <v>0</v>
      </c>
      <c r="AO33" s="182">
        <v>0</v>
      </c>
      <c r="AP33" s="182">
        <v>0</v>
      </c>
      <c r="AQ33" s="562">
        <f t="shared" si="30"/>
        <v>0</v>
      </c>
      <c r="AR33" s="182"/>
      <c r="AS33" s="182"/>
      <c r="AT33" s="182"/>
      <c r="AU33" s="182"/>
      <c r="AV33" s="562">
        <f t="shared" ref="AV33:AV35" si="40">+SUM(AR33:AU33)</f>
        <v>0</v>
      </c>
      <c r="AW33" s="182"/>
      <c r="AX33" s="182"/>
      <c r="AY33" s="182"/>
      <c r="AZ33" s="182">
        <v>0</v>
      </c>
      <c r="BA33" s="562">
        <f t="shared" ref="BA33:BA34" si="41">+SUM(AW33:AZ33)</f>
        <v>0</v>
      </c>
      <c r="BB33" s="182"/>
      <c r="BC33" s="182"/>
      <c r="BD33" s="182"/>
      <c r="BE33" s="182">
        <f t="shared" si="33"/>
        <v>0</v>
      </c>
      <c r="BF33" s="732"/>
      <c r="BG33" s="733"/>
      <c r="BH33" s="733"/>
      <c r="BI33" s="733"/>
      <c r="BJ33" s="733">
        <f t="shared" si="38"/>
        <v>0</v>
      </c>
      <c r="BK33" s="732"/>
      <c r="BL33" s="733"/>
      <c r="BM33" s="733"/>
      <c r="BN33" s="733"/>
      <c r="BO33" s="733"/>
      <c r="BP33" s="732"/>
      <c r="BQ33" s="733"/>
      <c r="BR33" s="733"/>
      <c r="BS33" s="733"/>
      <c r="BT33" s="733"/>
      <c r="BU33" s="732">
        <f t="shared" ref="BU33:BU34" si="42">+SUM(BQ33:BT33)</f>
        <v>0</v>
      </c>
      <c r="BV33" s="733"/>
      <c r="BW33" s="733"/>
      <c r="BX33" s="733"/>
      <c r="BY33" s="733"/>
      <c r="BZ33" s="732">
        <f t="shared" ref="BZ33:BZ34" si="43">+SUM(BV33:BY33)</f>
        <v>0</v>
      </c>
      <c r="CA33" s="733"/>
      <c r="CB33" s="733"/>
      <c r="CC33" s="733"/>
      <c r="CD33" s="733"/>
      <c r="CE33" s="732">
        <f t="shared" ref="CE33:CE34" si="44">+SUM(CA33:CD33)</f>
        <v>0</v>
      </c>
    </row>
    <row r="34" spans="1:83" ht="12.75" hidden="1" outlineLevel="1">
      <c r="B34" s="175" t="s">
        <v>323</v>
      </c>
      <c r="C34" s="166"/>
      <c r="D34" s="182"/>
      <c r="E34" s="182"/>
      <c r="F34" s="182"/>
      <c r="G34" s="182"/>
      <c r="H34" s="182">
        <v>0</v>
      </c>
      <c r="I34" s="182"/>
      <c r="J34" s="182"/>
      <c r="K34" s="182"/>
      <c r="L34" s="182"/>
      <c r="M34" s="182">
        <v>114</v>
      </c>
      <c r="N34" s="182">
        <v>0</v>
      </c>
      <c r="O34" s="182">
        <v>0</v>
      </c>
      <c r="P34" s="182">
        <v>0</v>
      </c>
      <c r="Q34" s="182">
        <v>0</v>
      </c>
      <c r="R34" s="182">
        <v>0</v>
      </c>
      <c r="S34" s="182">
        <v>0</v>
      </c>
      <c r="T34" s="182">
        <v>0</v>
      </c>
      <c r="U34" s="182">
        <v>0</v>
      </c>
      <c r="V34" s="182">
        <v>0</v>
      </c>
      <c r="W34" s="562">
        <v>0</v>
      </c>
      <c r="X34" s="182">
        <v>0</v>
      </c>
      <c r="Y34" s="182">
        <v>0</v>
      </c>
      <c r="Z34" s="182">
        <v>0</v>
      </c>
      <c r="AA34" s="182">
        <v>0</v>
      </c>
      <c r="AB34" s="562">
        <v>0</v>
      </c>
      <c r="AC34" s="182">
        <v>0</v>
      </c>
      <c r="AD34" s="182">
        <f t="shared" ref="AD34:AD36" si="45">0-AC34</f>
        <v>0</v>
      </c>
      <c r="AE34" s="182">
        <f>0-AD34-AC34</f>
        <v>0</v>
      </c>
      <c r="AF34" s="182">
        <f t="shared" si="39"/>
        <v>0</v>
      </c>
      <c r="AG34" s="562">
        <v>0</v>
      </c>
      <c r="AH34" s="182">
        <v>0</v>
      </c>
      <c r="AI34" s="182">
        <v>0</v>
      </c>
      <c r="AJ34" s="182">
        <v>0</v>
      </c>
      <c r="AK34" s="182">
        <f t="shared" si="29"/>
        <v>0</v>
      </c>
      <c r="AL34" s="562">
        <v>0</v>
      </c>
      <c r="AM34" s="182">
        <v>0</v>
      </c>
      <c r="AN34" s="182">
        <v>0</v>
      </c>
      <c r="AO34" s="182">
        <v>0</v>
      </c>
      <c r="AP34" s="182">
        <v>0</v>
      </c>
      <c r="AQ34" s="562">
        <f t="shared" si="30"/>
        <v>0</v>
      </c>
      <c r="AR34" s="182"/>
      <c r="AS34" s="182"/>
      <c r="AT34" s="182"/>
      <c r="AU34" s="182"/>
      <c r="AV34" s="562">
        <f t="shared" si="40"/>
        <v>0</v>
      </c>
      <c r="AW34" s="182"/>
      <c r="AX34" s="182"/>
      <c r="AY34" s="182"/>
      <c r="AZ34" s="182">
        <v>0</v>
      </c>
      <c r="BA34" s="562">
        <f t="shared" si="41"/>
        <v>0</v>
      </c>
      <c r="BB34" s="182"/>
      <c r="BC34" s="182"/>
      <c r="BD34" s="182"/>
      <c r="BE34" s="182">
        <f t="shared" si="33"/>
        <v>0</v>
      </c>
      <c r="BF34" s="732"/>
      <c r="BG34" s="733"/>
      <c r="BH34" s="733"/>
      <c r="BI34" s="733"/>
      <c r="BJ34" s="733">
        <f t="shared" si="38"/>
        <v>0</v>
      </c>
      <c r="BK34" s="732"/>
      <c r="BL34" s="733"/>
      <c r="BM34" s="733"/>
      <c r="BN34" s="733"/>
      <c r="BO34" s="733"/>
      <c r="BP34" s="732"/>
      <c r="BQ34" s="733"/>
      <c r="BR34" s="733"/>
      <c r="BS34" s="733"/>
      <c r="BT34" s="733"/>
      <c r="BU34" s="732">
        <f t="shared" si="42"/>
        <v>0</v>
      </c>
      <c r="BV34" s="733"/>
      <c r="BW34" s="733"/>
      <c r="BX34" s="733"/>
      <c r="BY34" s="733"/>
      <c r="BZ34" s="732">
        <f t="shared" si="43"/>
        <v>0</v>
      </c>
      <c r="CA34" s="733"/>
      <c r="CB34" s="733"/>
      <c r="CC34" s="733"/>
      <c r="CD34" s="733"/>
      <c r="CE34" s="732">
        <f t="shared" si="44"/>
        <v>0</v>
      </c>
    </row>
    <row r="35" spans="1:83" ht="12.75" collapsed="1">
      <c r="A35" s="3" t="s">
        <v>353</v>
      </c>
      <c r="B35" s="175" t="s">
        <v>417</v>
      </c>
      <c r="C35" s="166"/>
      <c r="D35" s="182"/>
      <c r="E35" s="182"/>
      <c r="F35" s="182"/>
      <c r="G35" s="182"/>
      <c r="H35" s="182">
        <v>-49</v>
      </c>
      <c r="I35" s="182"/>
      <c r="J35" s="182"/>
      <c r="K35" s="182"/>
      <c r="L35" s="182"/>
      <c r="M35" s="182">
        <v>0</v>
      </c>
      <c r="N35" s="182">
        <v>0</v>
      </c>
      <c r="O35" s="182">
        <v>0</v>
      </c>
      <c r="P35" s="182">
        <v>0</v>
      </c>
      <c r="Q35" s="182">
        <v>0</v>
      </c>
      <c r="R35" s="182">
        <v>0</v>
      </c>
      <c r="S35" s="182">
        <v>0</v>
      </c>
      <c r="T35" s="182">
        <v>0</v>
      </c>
      <c r="U35" s="182">
        <v>0</v>
      </c>
      <c r="V35" s="182">
        <v>0</v>
      </c>
      <c r="W35" s="562">
        <v>0</v>
      </c>
      <c r="X35" s="182">
        <v>0</v>
      </c>
      <c r="Y35" s="182">
        <v>0</v>
      </c>
      <c r="Z35" s="182">
        <v>0</v>
      </c>
      <c r="AA35" s="182">
        <v>0</v>
      </c>
      <c r="AB35" s="562">
        <v>0</v>
      </c>
      <c r="AC35" s="182">
        <v>0</v>
      </c>
      <c r="AD35" s="182">
        <f t="shared" si="45"/>
        <v>0</v>
      </c>
      <c r="AE35" s="182">
        <f>0-AD35-AC35</f>
        <v>0</v>
      </c>
      <c r="AF35" s="182">
        <f t="shared" si="39"/>
        <v>0</v>
      </c>
      <c r="AG35" s="562">
        <v>0</v>
      </c>
      <c r="AH35" s="182">
        <v>0</v>
      </c>
      <c r="AI35" s="182">
        <v>0</v>
      </c>
      <c r="AJ35" s="182">
        <v>0</v>
      </c>
      <c r="AK35" s="182">
        <f t="shared" si="29"/>
        <v>0</v>
      </c>
      <c r="AL35" s="562">
        <v>0</v>
      </c>
      <c r="AM35" s="182">
        <v>0</v>
      </c>
      <c r="AN35" s="182">
        <v>0</v>
      </c>
      <c r="AO35" s="182">
        <v>-625</v>
      </c>
      <c r="AP35" s="182">
        <v>0</v>
      </c>
      <c r="AQ35" s="562">
        <f t="shared" si="30"/>
        <v>-625</v>
      </c>
      <c r="AR35" s="182">
        <v>0</v>
      </c>
      <c r="AS35" s="182">
        <v>0</v>
      </c>
      <c r="AT35" s="182">
        <v>0</v>
      </c>
      <c r="AU35" s="182">
        <f>419-AR35-AS35-AT35</f>
        <v>419</v>
      </c>
      <c r="AV35" s="562">
        <f t="shared" si="40"/>
        <v>419</v>
      </c>
      <c r="AW35" s="182">
        <f>0</f>
        <v>0</v>
      </c>
      <c r="AX35" s="182">
        <f>6-AW35</f>
        <v>6</v>
      </c>
      <c r="AY35" s="182">
        <f>6-AW35-AX35</f>
        <v>0</v>
      </c>
      <c r="AZ35" s="182">
        <f t="shared" si="32"/>
        <v>-1236</v>
      </c>
      <c r="BA35" s="562">
        <f>-1230</f>
        <v>-1230</v>
      </c>
      <c r="BB35" s="182">
        <v>0</v>
      </c>
      <c r="BC35" s="182">
        <v>0</v>
      </c>
      <c r="BD35" s="182">
        <f>-120-BC35-BB35</f>
        <v>-120</v>
      </c>
      <c r="BE35" s="182">
        <f t="shared" si="33"/>
        <v>-8500</v>
      </c>
      <c r="BF35" s="732">
        <f>-8620</f>
        <v>-8620</v>
      </c>
      <c r="BG35" s="733"/>
      <c r="BH35" s="733"/>
      <c r="BI35" s="733"/>
      <c r="BJ35" s="733">
        <f t="shared" si="38"/>
        <v>0</v>
      </c>
      <c r="BK35" s="732">
        <f>0</f>
        <v>0</v>
      </c>
      <c r="BL35" s="733">
        <f>0</f>
        <v>0</v>
      </c>
      <c r="BM35" s="733">
        <f>0</f>
        <v>0</v>
      </c>
      <c r="BN35" s="733">
        <f>0</f>
        <v>0</v>
      </c>
      <c r="BO35" s="733">
        <f>0</f>
        <v>0</v>
      </c>
      <c r="BP35" s="732">
        <f>0</f>
        <v>0</v>
      </c>
      <c r="BQ35" s="733">
        <f>0</f>
        <v>0</v>
      </c>
      <c r="BR35" s="733">
        <f>0</f>
        <v>0</v>
      </c>
      <c r="BS35" s="733">
        <f>0</f>
        <v>0</v>
      </c>
      <c r="BT35" s="733">
        <f t="shared" ref="BT35:BT36" si="46">0-BS35-BR35-BQ35</f>
        <v>0</v>
      </c>
      <c r="BU35" s="732">
        <f>+BS!BU94*-1</f>
        <v>0</v>
      </c>
      <c r="BV35" s="733">
        <f>+BS!BV94*-1</f>
        <v>0</v>
      </c>
      <c r="BW35" s="733">
        <f>+BS!BW94*-1</f>
        <v>0</v>
      </c>
      <c r="BX35" s="733">
        <f>+BS!BX94*-1</f>
        <v>0</v>
      </c>
      <c r="BY35" s="733">
        <f>+BS!BY94*-1</f>
        <v>0</v>
      </c>
      <c r="BZ35" s="732">
        <f>+BS!BZ94*-1</f>
        <v>0</v>
      </c>
      <c r="CA35" s="733">
        <f>+BS!CA94*-1</f>
        <v>0</v>
      </c>
      <c r="CB35" s="733">
        <f>+BS!CB94*-1</f>
        <v>0</v>
      </c>
      <c r="CC35" s="733">
        <f>+BS!CC94*-1</f>
        <v>0</v>
      </c>
      <c r="CD35" s="733">
        <f>+BS!CD94*-1</f>
        <v>0</v>
      </c>
      <c r="CE35" s="732">
        <f>+BS!CE94*-1</f>
        <v>0</v>
      </c>
    </row>
    <row r="36" spans="1:83" ht="12.75">
      <c r="B36" s="175" t="s">
        <v>421</v>
      </c>
      <c r="C36" s="166"/>
      <c r="D36" s="182"/>
      <c r="E36" s="182"/>
      <c r="F36" s="182"/>
      <c r="G36" s="182"/>
      <c r="H36" s="182">
        <v>0</v>
      </c>
      <c r="I36" s="182"/>
      <c r="J36" s="182"/>
      <c r="K36" s="182"/>
      <c r="L36" s="182"/>
      <c r="M36" s="182">
        <v>0</v>
      </c>
      <c r="N36" s="182">
        <v>0</v>
      </c>
      <c r="O36" s="182">
        <v>0</v>
      </c>
      <c r="P36" s="182">
        <v>0</v>
      </c>
      <c r="Q36" s="182">
        <v>0</v>
      </c>
      <c r="R36" s="182">
        <v>0</v>
      </c>
      <c r="S36" s="182">
        <v>0</v>
      </c>
      <c r="T36" s="182">
        <v>0</v>
      </c>
      <c r="U36" s="182">
        <v>0</v>
      </c>
      <c r="V36" s="182">
        <v>0</v>
      </c>
      <c r="W36" s="562">
        <v>0</v>
      </c>
      <c r="X36" s="182">
        <v>0</v>
      </c>
      <c r="Y36" s="182">
        <v>0</v>
      </c>
      <c r="Z36" s="182">
        <v>0</v>
      </c>
      <c r="AA36" s="182">
        <v>0</v>
      </c>
      <c r="AB36" s="562">
        <v>0</v>
      </c>
      <c r="AC36" s="182">
        <v>0</v>
      </c>
      <c r="AD36" s="182">
        <f t="shared" si="45"/>
        <v>0</v>
      </c>
      <c r="AE36" s="182">
        <f>+-5753-AD36-AC36</f>
        <v>-5753</v>
      </c>
      <c r="AF36" s="182">
        <f t="shared" si="39"/>
        <v>-6729</v>
      </c>
      <c r="AG36" s="562">
        <v>-12482</v>
      </c>
      <c r="AH36" s="182">
        <v>0</v>
      </c>
      <c r="AI36" s="182">
        <f>+-3359-2500-AH36</f>
        <v>-5859</v>
      </c>
      <c r="AJ36" s="182">
        <f>+-3359-2500-AI36-AH36</f>
        <v>0</v>
      </c>
      <c r="AK36" s="182">
        <f t="shared" si="29"/>
        <v>-10274</v>
      </c>
      <c r="AL36" s="562">
        <f>+-13633-2500</f>
        <v>-16133</v>
      </c>
      <c r="AM36" s="182">
        <v>-850</v>
      </c>
      <c r="AN36" s="182">
        <v>-1000</v>
      </c>
      <c r="AO36" s="182">
        <v>0</v>
      </c>
      <c r="AP36" s="182">
        <v>-2200</v>
      </c>
      <c r="AQ36" s="562">
        <f t="shared" si="30"/>
        <v>-4050</v>
      </c>
      <c r="AR36" s="182">
        <f>0</f>
        <v>0</v>
      </c>
      <c r="AS36" s="182">
        <f>0-AR36</f>
        <v>0</v>
      </c>
      <c r="AT36" s="182">
        <v>-1500</v>
      </c>
      <c r="AU36" s="182">
        <f>-1500-AR36-AS36-AT36</f>
        <v>0</v>
      </c>
      <c r="AV36" s="562">
        <f t="shared" ref="AV36" si="47">+SUM(AR36:AU36)</f>
        <v>-1500</v>
      </c>
      <c r="AW36" s="182">
        <f>0</f>
        <v>0</v>
      </c>
      <c r="AX36" s="182">
        <f>0-AW36</f>
        <v>0</v>
      </c>
      <c r="AY36" s="182">
        <f>-1080-AW36-AX36</f>
        <v>-1080</v>
      </c>
      <c r="AZ36" s="182">
        <v>0</v>
      </c>
      <c r="BA36" s="562">
        <v>0</v>
      </c>
      <c r="BB36" s="182">
        <v>0</v>
      </c>
      <c r="BC36" s="182">
        <v>0</v>
      </c>
      <c r="BD36" s="182">
        <v>0</v>
      </c>
      <c r="BE36" s="182">
        <f t="shared" si="33"/>
        <v>0</v>
      </c>
      <c r="BF36" s="732">
        <f>0</f>
        <v>0</v>
      </c>
      <c r="BG36" s="733"/>
      <c r="BH36" s="733"/>
      <c r="BI36" s="733"/>
      <c r="BJ36" s="733">
        <f t="shared" si="38"/>
        <v>0</v>
      </c>
      <c r="BK36" s="732">
        <f>0</f>
        <v>0</v>
      </c>
      <c r="BL36" s="733">
        <f>0</f>
        <v>0</v>
      </c>
      <c r="BM36" s="733">
        <f>0</f>
        <v>0</v>
      </c>
      <c r="BN36" s="733">
        <f>0</f>
        <v>0</v>
      </c>
      <c r="BO36" s="733">
        <f>0</f>
        <v>0</v>
      </c>
      <c r="BP36" s="732">
        <f>0</f>
        <v>0</v>
      </c>
      <c r="BQ36" s="733">
        <f>0</f>
        <v>0</v>
      </c>
      <c r="BR36" s="733">
        <f>0</f>
        <v>0</v>
      </c>
      <c r="BS36" s="733">
        <f>0</f>
        <v>0</v>
      </c>
      <c r="BT36" s="733">
        <f t="shared" si="46"/>
        <v>0</v>
      </c>
      <c r="BU36" s="732">
        <f t="shared" ref="BU36" si="48">+SUM(BQ36:BT36)</f>
        <v>0</v>
      </c>
      <c r="BV36" s="733">
        <f>0</f>
        <v>0</v>
      </c>
      <c r="BW36" s="733">
        <f>0</f>
        <v>0</v>
      </c>
      <c r="BX36" s="733">
        <f>0</f>
        <v>0</v>
      </c>
      <c r="BY36" s="733">
        <f>0</f>
        <v>0</v>
      </c>
      <c r="BZ36" s="732">
        <f t="shared" ref="BZ36" si="49">+SUM(BV36:BY36)</f>
        <v>0</v>
      </c>
      <c r="CA36" s="733">
        <f>0</f>
        <v>0</v>
      </c>
      <c r="CB36" s="733">
        <f>0</f>
        <v>0</v>
      </c>
      <c r="CC36" s="733">
        <f>0</f>
        <v>0</v>
      </c>
      <c r="CD36" s="733">
        <f>0</f>
        <v>0</v>
      </c>
      <c r="CE36" s="732">
        <f t="shared" ref="CE36" si="50">+SUM(CA36:CD36)</f>
        <v>0</v>
      </c>
    </row>
    <row r="37" spans="1:83" ht="6.75" customHeight="1">
      <c r="B37" s="291"/>
      <c r="C37" s="294"/>
      <c r="D37" s="188" t="s">
        <v>0</v>
      </c>
      <c r="E37" s="188" t="s">
        <v>0</v>
      </c>
      <c r="F37" s="188" t="s">
        <v>0</v>
      </c>
      <c r="G37" s="188" t="s">
        <v>0</v>
      </c>
      <c r="H37" s="188" t="s">
        <v>0</v>
      </c>
      <c r="I37" s="188" t="s">
        <v>0</v>
      </c>
      <c r="J37" s="188" t="s">
        <v>0</v>
      </c>
      <c r="K37" s="188" t="s">
        <v>0</v>
      </c>
      <c r="L37" s="188" t="s">
        <v>0</v>
      </c>
      <c r="M37" s="188" t="s">
        <v>0</v>
      </c>
      <c r="N37" s="188" t="s">
        <v>0</v>
      </c>
      <c r="O37" s="188" t="s">
        <v>0</v>
      </c>
      <c r="P37" s="188" t="s">
        <v>0</v>
      </c>
      <c r="Q37" s="188" t="s">
        <v>0</v>
      </c>
      <c r="R37" s="188" t="s">
        <v>0</v>
      </c>
      <c r="S37" s="188" t="s">
        <v>0</v>
      </c>
      <c r="T37" s="188" t="s">
        <v>0</v>
      </c>
      <c r="U37" s="188" t="s">
        <v>0</v>
      </c>
      <c r="V37" s="188" t="s">
        <v>0</v>
      </c>
      <c r="W37" s="596" t="s">
        <v>0</v>
      </c>
      <c r="X37" s="188" t="s">
        <v>0</v>
      </c>
      <c r="Y37" s="188" t="s">
        <v>0</v>
      </c>
      <c r="Z37" s="188" t="s">
        <v>0</v>
      </c>
      <c r="AA37" s="188" t="s">
        <v>0</v>
      </c>
      <c r="AB37" s="596" t="s">
        <v>0</v>
      </c>
      <c r="AC37" s="188" t="s">
        <v>0</v>
      </c>
      <c r="AD37" s="188" t="s">
        <v>0</v>
      </c>
      <c r="AE37" s="188" t="s">
        <v>0</v>
      </c>
      <c r="AF37" s="188" t="s">
        <v>0</v>
      </c>
      <c r="AG37" s="596" t="s">
        <v>0</v>
      </c>
      <c r="AH37" s="188" t="s">
        <v>0</v>
      </c>
      <c r="AI37" s="188" t="s">
        <v>0</v>
      </c>
      <c r="AJ37" s="188" t="s">
        <v>0</v>
      </c>
      <c r="AK37" s="188" t="s">
        <v>0</v>
      </c>
      <c r="AL37" s="596" t="s">
        <v>0</v>
      </c>
      <c r="AM37" s="188" t="s">
        <v>0</v>
      </c>
      <c r="AN37" s="188" t="s">
        <v>0</v>
      </c>
      <c r="AO37" s="188" t="s">
        <v>0</v>
      </c>
      <c r="AP37" s="188" t="s">
        <v>0</v>
      </c>
      <c r="AQ37" s="596" t="s">
        <v>0</v>
      </c>
      <c r="AR37" s="188" t="s">
        <v>0</v>
      </c>
      <c r="AS37" s="188" t="s">
        <v>0</v>
      </c>
      <c r="AT37" s="188" t="s">
        <v>0</v>
      </c>
      <c r="AU37" s="188" t="s">
        <v>0</v>
      </c>
      <c r="AV37" s="596" t="s">
        <v>0</v>
      </c>
      <c r="AW37" s="188" t="s">
        <v>0</v>
      </c>
      <c r="AX37" s="188" t="s">
        <v>0</v>
      </c>
      <c r="AY37" s="188" t="s">
        <v>0</v>
      </c>
      <c r="AZ37" s="188" t="s">
        <v>0</v>
      </c>
      <c r="BA37" s="596" t="s">
        <v>0</v>
      </c>
      <c r="BB37" s="188" t="s">
        <v>0</v>
      </c>
      <c r="BC37" s="188" t="s">
        <v>0</v>
      </c>
      <c r="BD37" s="188" t="s">
        <v>0</v>
      </c>
      <c r="BE37" s="188" t="s">
        <v>0</v>
      </c>
      <c r="BF37" s="734" t="s">
        <v>0</v>
      </c>
      <c r="BG37" s="735" t="s">
        <v>0</v>
      </c>
      <c r="BH37" s="735" t="s">
        <v>0</v>
      </c>
      <c r="BI37" s="735" t="s">
        <v>0</v>
      </c>
      <c r="BJ37" s="735" t="s">
        <v>0</v>
      </c>
      <c r="BK37" s="734" t="s">
        <v>0</v>
      </c>
      <c r="BL37" s="735" t="s">
        <v>0</v>
      </c>
      <c r="BM37" s="735" t="s">
        <v>0</v>
      </c>
      <c r="BN37" s="735" t="s">
        <v>0</v>
      </c>
      <c r="BO37" s="735" t="s">
        <v>0</v>
      </c>
      <c r="BP37" s="734" t="s">
        <v>0</v>
      </c>
      <c r="BQ37" s="735" t="s">
        <v>0</v>
      </c>
      <c r="BR37" s="735" t="s">
        <v>0</v>
      </c>
      <c r="BS37" s="735" t="s">
        <v>0</v>
      </c>
      <c r="BT37" s="735" t="s">
        <v>0</v>
      </c>
      <c r="BU37" s="734" t="s">
        <v>0</v>
      </c>
      <c r="BV37" s="735" t="s">
        <v>0</v>
      </c>
      <c r="BW37" s="735" t="s">
        <v>0</v>
      </c>
      <c r="BX37" s="735" t="s">
        <v>0</v>
      </c>
      <c r="BY37" s="735" t="s">
        <v>0</v>
      </c>
      <c r="BZ37" s="734" t="s">
        <v>0</v>
      </c>
      <c r="CA37" s="735" t="s">
        <v>0</v>
      </c>
      <c r="CB37" s="735" t="s">
        <v>0</v>
      </c>
      <c r="CC37" s="735" t="s">
        <v>0</v>
      </c>
      <c r="CD37" s="735" t="s">
        <v>0</v>
      </c>
      <c r="CE37" s="734" t="s">
        <v>0</v>
      </c>
    </row>
    <row r="38" spans="1:83" ht="13.15">
      <c r="B38" s="295" t="s">
        <v>385</v>
      </c>
      <c r="C38" s="179"/>
      <c r="D38" s="179">
        <f t="shared" ref="D38:AI38" si="51">+SUM(D30:D36)</f>
        <v>0</v>
      </c>
      <c r="E38" s="179">
        <f t="shared" si="51"/>
        <v>0</v>
      </c>
      <c r="F38" s="179">
        <f t="shared" si="51"/>
        <v>0</v>
      </c>
      <c r="G38" s="179">
        <f t="shared" si="51"/>
        <v>0</v>
      </c>
      <c r="H38" s="179">
        <f t="shared" si="51"/>
        <v>-94784</v>
      </c>
      <c r="I38" s="179">
        <f t="shared" si="51"/>
        <v>0</v>
      </c>
      <c r="J38" s="179">
        <f t="shared" si="51"/>
        <v>0</v>
      </c>
      <c r="K38" s="179">
        <f t="shared" si="51"/>
        <v>0</v>
      </c>
      <c r="L38" s="179">
        <f t="shared" si="51"/>
        <v>0</v>
      </c>
      <c r="M38" s="179">
        <f t="shared" si="51"/>
        <v>-20688</v>
      </c>
      <c r="N38" s="179">
        <f t="shared" si="51"/>
        <v>-10167</v>
      </c>
      <c r="O38" s="179">
        <f t="shared" si="51"/>
        <v>-8275</v>
      </c>
      <c r="P38" s="179">
        <f t="shared" si="51"/>
        <v>35129</v>
      </c>
      <c r="Q38" s="179">
        <f t="shared" si="51"/>
        <v>-31020</v>
      </c>
      <c r="R38" s="179">
        <f t="shared" si="51"/>
        <v>-14333</v>
      </c>
      <c r="S38" s="179">
        <f t="shared" si="51"/>
        <v>-12051</v>
      </c>
      <c r="T38" s="179">
        <f t="shared" si="51"/>
        <v>-11683</v>
      </c>
      <c r="U38" s="179">
        <f t="shared" si="51"/>
        <v>-6584</v>
      </c>
      <c r="V38" s="179">
        <f t="shared" si="51"/>
        <v>-31030</v>
      </c>
      <c r="W38" s="555">
        <f t="shared" si="51"/>
        <v>-61348</v>
      </c>
      <c r="X38" s="179">
        <f t="shared" si="51"/>
        <v>-1573</v>
      </c>
      <c r="Y38" s="179">
        <f t="shared" si="51"/>
        <v>-19601</v>
      </c>
      <c r="Z38" s="179">
        <f t="shared" si="51"/>
        <v>-44088</v>
      </c>
      <c r="AA38" s="179">
        <f t="shared" si="51"/>
        <v>-31228</v>
      </c>
      <c r="AB38" s="555">
        <f t="shared" si="51"/>
        <v>-96490</v>
      </c>
      <c r="AC38" s="179">
        <f t="shared" si="51"/>
        <v>-1006</v>
      </c>
      <c r="AD38" s="179">
        <f t="shared" si="51"/>
        <v>-3550</v>
      </c>
      <c r="AE38" s="179">
        <f t="shared" si="51"/>
        <v>-78650</v>
      </c>
      <c r="AF38" s="179">
        <f t="shared" si="51"/>
        <v>-34989</v>
      </c>
      <c r="AG38" s="555">
        <f t="shared" si="51"/>
        <v>-118195</v>
      </c>
      <c r="AH38" s="179">
        <f t="shared" si="51"/>
        <v>-38081</v>
      </c>
      <c r="AI38" s="179">
        <f t="shared" si="51"/>
        <v>-12005</v>
      </c>
      <c r="AJ38" s="179">
        <f t="shared" ref="AJ38:AY38" si="52">+SUM(AJ30:AJ36)</f>
        <v>1540</v>
      </c>
      <c r="AK38" s="179">
        <f t="shared" si="52"/>
        <v>-47338</v>
      </c>
      <c r="AL38" s="555">
        <f t="shared" si="52"/>
        <v>-95884</v>
      </c>
      <c r="AM38" s="179">
        <f t="shared" si="52"/>
        <v>15364</v>
      </c>
      <c r="AN38" s="179">
        <f t="shared" si="52"/>
        <v>-22911</v>
      </c>
      <c r="AO38" s="179">
        <f t="shared" si="52"/>
        <v>-9813</v>
      </c>
      <c r="AP38" s="179">
        <f t="shared" si="52"/>
        <v>-17669</v>
      </c>
      <c r="AQ38" s="555">
        <f t="shared" si="52"/>
        <v>-35029</v>
      </c>
      <c r="AR38" s="179">
        <f t="shared" si="52"/>
        <v>36813</v>
      </c>
      <c r="AS38" s="179">
        <f t="shared" si="52"/>
        <v>-47184</v>
      </c>
      <c r="AT38" s="179">
        <f t="shared" si="52"/>
        <v>-41109</v>
      </c>
      <c r="AU38" s="179">
        <f t="shared" si="52"/>
        <v>-29452</v>
      </c>
      <c r="AV38" s="555">
        <f t="shared" si="52"/>
        <v>-80932</v>
      </c>
      <c r="AW38" s="179">
        <f t="shared" si="52"/>
        <v>23175</v>
      </c>
      <c r="AX38" s="179">
        <f t="shared" si="52"/>
        <v>-32348</v>
      </c>
      <c r="AY38" s="179">
        <f t="shared" si="52"/>
        <v>28295</v>
      </c>
      <c r="AZ38" s="179">
        <f>BA38-AY38-AX38-AW38</f>
        <v>-48654</v>
      </c>
      <c r="BA38" s="555">
        <f>-29532</f>
        <v>-29532</v>
      </c>
      <c r="BB38" s="179">
        <f t="shared" ref="BB38:BF38" si="53">+SUM(BB30:BB36)</f>
        <v>-4524</v>
      </c>
      <c r="BC38" s="179">
        <f t="shared" si="53"/>
        <v>-9875</v>
      </c>
      <c r="BD38" s="179">
        <f t="shared" si="53"/>
        <v>114049</v>
      </c>
      <c r="BE38" s="179">
        <f t="shared" si="53"/>
        <v>45418</v>
      </c>
      <c r="BF38" s="736">
        <f t="shared" si="53"/>
        <v>145068</v>
      </c>
      <c r="BG38" s="737">
        <f t="shared" ref="BG38:BK38" si="54">+SUM(BG30:BG36)</f>
        <v>19662</v>
      </c>
      <c r="BH38" s="737">
        <f t="shared" si="54"/>
        <v>-17389</v>
      </c>
      <c r="BI38" s="737">
        <f t="shared" si="54"/>
        <v>-49772</v>
      </c>
      <c r="BJ38" s="737">
        <f t="shared" si="54"/>
        <v>-25667</v>
      </c>
      <c r="BK38" s="736">
        <f t="shared" si="54"/>
        <v>-73166</v>
      </c>
      <c r="BL38" s="737">
        <f t="shared" ref="BL38:BP38" si="55">+SUM(BL30:BL36)</f>
        <v>8072</v>
      </c>
      <c r="BM38" s="737">
        <f t="shared" si="55"/>
        <v>-4711</v>
      </c>
      <c r="BN38" s="737">
        <f t="shared" si="55"/>
        <v>-62870</v>
      </c>
      <c r="BO38" s="737">
        <f t="shared" si="55"/>
        <v>-11918</v>
      </c>
      <c r="BP38" s="736">
        <f t="shared" si="55"/>
        <v>-71427</v>
      </c>
      <c r="BQ38" s="737">
        <f t="shared" ref="BQ38:BU38" si="56">+SUM(BQ30:BQ36)</f>
        <v>-7031</v>
      </c>
      <c r="BR38" s="737">
        <f t="shared" si="56"/>
        <v>-79109</v>
      </c>
      <c r="BS38" s="737">
        <f t="shared" si="56"/>
        <v>-11183</v>
      </c>
      <c r="BT38" s="737">
        <f t="shared" si="56"/>
        <v>-8601</v>
      </c>
      <c r="BU38" s="736">
        <f t="shared" si="56"/>
        <v>-105924</v>
      </c>
      <c r="BV38" s="737">
        <f t="shared" ref="BV38:BZ38" si="57">+SUM(BV30:BV36)</f>
        <v>-1908.3945650000001</v>
      </c>
      <c r="BW38" s="737">
        <f t="shared" si="57"/>
        <v>-2657.8044000000004</v>
      </c>
      <c r="BX38" s="737">
        <f t="shared" si="57"/>
        <v>-2739.3472499999998</v>
      </c>
      <c r="BY38" s="737">
        <f t="shared" si="57"/>
        <v>-2813.2761</v>
      </c>
      <c r="BZ38" s="736">
        <f t="shared" si="57"/>
        <v>-10118.822315000001</v>
      </c>
      <c r="CA38" s="737">
        <f t="shared" ref="CA38:CE38" si="58">+SUM(CA30:CA36)</f>
        <v>-1873.6964820000003</v>
      </c>
      <c r="CB38" s="737">
        <f t="shared" si="58"/>
        <v>-1895.9004720000003</v>
      </c>
      <c r="CC38" s="737">
        <f t="shared" si="58"/>
        <v>-1935.80539</v>
      </c>
      <c r="CD38" s="737">
        <f t="shared" si="58"/>
        <v>-1988.0484440000002</v>
      </c>
      <c r="CE38" s="736">
        <f t="shared" si="58"/>
        <v>-7693.4507880000001</v>
      </c>
    </row>
    <row r="39" spans="1:83" ht="6.75" customHeight="1">
      <c r="B39" s="292"/>
      <c r="C39" s="170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562"/>
      <c r="X39" s="182"/>
      <c r="Y39" s="182"/>
      <c r="Z39" s="182"/>
      <c r="AA39" s="182"/>
      <c r="AB39" s="562"/>
      <c r="AC39" s="182"/>
      <c r="AD39" s="182"/>
      <c r="AE39" s="182"/>
      <c r="AF39" s="182"/>
      <c r="AG39" s="562"/>
      <c r="AH39" s="182"/>
      <c r="AI39" s="182"/>
      <c r="AJ39" s="182"/>
      <c r="AK39" s="182"/>
      <c r="AL39" s="562"/>
      <c r="AM39" s="182"/>
      <c r="AN39" s="182"/>
      <c r="AO39" s="182"/>
      <c r="AP39" s="182"/>
      <c r="AQ39" s="562"/>
      <c r="AR39" s="182"/>
      <c r="AS39" s="182"/>
      <c r="AT39" s="182"/>
      <c r="AU39" s="182"/>
      <c r="AV39" s="562"/>
      <c r="AW39" s="182"/>
      <c r="AX39" s="182"/>
      <c r="AY39" s="182"/>
      <c r="AZ39" s="182"/>
      <c r="BA39" s="562"/>
      <c r="BB39" s="182"/>
      <c r="BC39" s="182"/>
      <c r="BD39" s="182"/>
      <c r="BE39" s="182"/>
      <c r="BF39" s="732"/>
      <c r="BG39" s="733"/>
      <c r="BH39" s="733"/>
      <c r="BI39" s="733"/>
      <c r="BJ39" s="733"/>
      <c r="BK39" s="732"/>
      <c r="BL39" s="733"/>
      <c r="BM39" s="733"/>
      <c r="BN39" s="733"/>
      <c r="BO39" s="733"/>
      <c r="BP39" s="732"/>
      <c r="BQ39" s="733"/>
      <c r="BR39" s="733"/>
      <c r="BS39" s="733"/>
      <c r="BT39" s="733"/>
      <c r="BU39" s="732"/>
      <c r="BV39" s="733"/>
      <c r="BW39" s="733"/>
      <c r="BX39" s="733"/>
      <c r="BY39" s="733"/>
      <c r="BZ39" s="732"/>
      <c r="CA39" s="733"/>
      <c r="CB39" s="733"/>
      <c r="CC39" s="733"/>
      <c r="CD39" s="733"/>
      <c r="CE39" s="732"/>
    </row>
    <row r="40" spans="1:83" ht="13.15">
      <c r="B40" s="292" t="s">
        <v>115</v>
      </c>
      <c r="C40" s="170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562"/>
      <c r="X40" s="182"/>
      <c r="Y40" s="182"/>
      <c r="Z40" s="182"/>
      <c r="AA40" s="182"/>
      <c r="AB40" s="562"/>
      <c r="AC40" s="182"/>
      <c r="AD40" s="182"/>
      <c r="AE40" s="182"/>
      <c r="AF40" s="182"/>
      <c r="AG40" s="562"/>
      <c r="AH40" s="182"/>
      <c r="AI40" s="182"/>
      <c r="AJ40" s="182"/>
      <c r="AK40" s="182"/>
      <c r="AL40" s="562"/>
      <c r="AM40" s="182"/>
      <c r="AN40" s="182"/>
      <c r="AO40" s="182"/>
      <c r="AP40" s="182"/>
      <c r="AQ40" s="562"/>
      <c r="AR40" s="182"/>
      <c r="AS40" s="182"/>
      <c r="AT40" s="182"/>
      <c r="AU40" s="182"/>
      <c r="AV40" s="562"/>
      <c r="AW40" s="182"/>
      <c r="AX40" s="182"/>
      <c r="AY40" s="182"/>
      <c r="AZ40" s="182"/>
      <c r="BA40" s="562"/>
      <c r="BB40" s="182"/>
      <c r="BC40" s="182"/>
      <c r="BD40" s="182"/>
      <c r="BE40" s="182"/>
      <c r="BF40" s="732"/>
      <c r="BG40" s="733"/>
      <c r="BH40" s="733"/>
      <c r="BI40" s="733"/>
      <c r="BJ40" s="733"/>
      <c r="BK40" s="732"/>
      <c r="BL40" s="733"/>
      <c r="BM40" s="733"/>
      <c r="BN40" s="733"/>
      <c r="BO40" s="733"/>
      <c r="BP40" s="732"/>
      <c r="BQ40" s="733"/>
      <c r="BR40" s="733"/>
      <c r="BS40" s="733"/>
      <c r="BT40" s="733"/>
      <c r="BU40" s="732"/>
      <c r="BV40" s="733"/>
      <c r="BW40" s="733"/>
      <c r="BX40" s="733"/>
      <c r="BY40" s="733"/>
      <c r="BZ40" s="732"/>
      <c r="CA40" s="733"/>
      <c r="CB40" s="733"/>
      <c r="CC40" s="733"/>
      <c r="CD40" s="733"/>
      <c r="CE40" s="732"/>
    </row>
    <row r="41" spans="1:83" ht="12.75" hidden="1" outlineLevel="1">
      <c r="B41" s="175" t="s">
        <v>324</v>
      </c>
      <c r="C41" s="166"/>
      <c r="D41" s="182"/>
      <c r="E41" s="182"/>
      <c r="F41" s="182"/>
      <c r="G41" s="182"/>
      <c r="H41" s="182">
        <v>84534</v>
      </c>
      <c r="I41" s="182"/>
      <c r="J41" s="182"/>
      <c r="K41" s="182"/>
      <c r="L41" s="182"/>
      <c r="M41" s="182">
        <v>0</v>
      </c>
      <c r="N41" s="182">
        <v>0</v>
      </c>
      <c r="O41" s="182">
        <v>0</v>
      </c>
      <c r="P41" s="182">
        <v>0</v>
      </c>
      <c r="Q41" s="182">
        <v>0</v>
      </c>
      <c r="R41" s="182">
        <v>0</v>
      </c>
      <c r="S41" s="182">
        <v>0</v>
      </c>
      <c r="T41" s="182">
        <v>0</v>
      </c>
      <c r="U41" s="182">
        <v>0</v>
      </c>
      <c r="V41" s="182">
        <v>0</v>
      </c>
      <c r="W41" s="562">
        <v>0</v>
      </c>
      <c r="X41" s="182">
        <v>0</v>
      </c>
      <c r="Y41" s="182">
        <v>0</v>
      </c>
      <c r="Z41" s="182">
        <v>0</v>
      </c>
      <c r="AA41" s="182">
        <v>0</v>
      </c>
      <c r="AB41" s="562">
        <v>0</v>
      </c>
      <c r="AC41" s="182">
        <v>0</v>
      </c>
      <c r="AD41" s="182">
        <f>0-AC41</f>
        <v>0</v>
      </c>
      <c r="AE41" s="182">
        <f>0-AD41-AC41</f>
        <v>0</v>
      </c>
      <c r="AF41" s="182">
        <f t="shared" ref="AF41:AF52" si="59">+AG41-SUM(AC41:AE41)</f>
        <v>0</v>
      </c>
      <c r="AG41" s="562">
        <v>0</v>
      </c>
      <c r="AH41" s="182">
        <v>0</v>
      </c>
      <c r="AI41" s="182">
        <v>0</v>
      </c>
      <c r="AJ41" s="182">
        <v>0</v>
      </c>
      <c r="AK41" s="182">
        <f t="shared" ref="AK41:AK52" si="60">+AL41-SUM(AH41:AJ41)</f>
        <v>0</v>
      </c>
      <c r="AL41" s="562">
        <v>0</v>
      </c>
      <c r="AM41" s="182">
        <v>0</v>
      </c>
      <c r="AN41" s="182">
        <v>0</v>
      </c>
      <c r="AO41" s="182">
        <v>0</v>
      </c>
      <c r="AP41" s="182">
        <v>0</v>
      </c>
      <c r="AQ41" s="562">
        <f t="shared" ref="AQ41:AQ52" si="61">+SUM(AM41:AP41)</f>
        <v>0</v>
      </c>
      <c r="AR41" s="182"/>
      <c r="AS41" s="182"/>
      <c r="AT41" s="182"/>
      <c r="AU41" s="182">
        <f>0-AR41-AS41-AT41</f>
        <v>0</v>
      </c>
      <c r="AV41" s="562">
        <f t="shared" ref="AV41:AV50" si="62">+SUM(AR41:AU41)</f>
        <v>0</v>
      </c>
      <c r="AW41" s="182"/>
      <c r="AX41" s="182"/>
      <c r="AY41" s="182"/>
      <c r="AZ41" s="182"/>
      <c r="BA41" s="562">
        <f t="shared" ref="BA41:BA50" si="63">+SUM(AW41:AZ41)</f>
        <v>0</v>
      </c>
      <c r="BB41" s="182"/>
      <c r="BC41" s="182"/>
      <c r="BD41" s="182"/>
      <c r="BE41" s="182"/>
      <c r="BF41" s="732">
        <f t="shared" ref="BF41" si="64">+SUM(BB41:BE41)</f>
        <v>0</v>
      </c>
      <c r="BG41" s="733"/>
      <c r="BH41" s="733"/>
      <c r="BI41" s="733"/>
      <c r="BJ41" s="733"/>
      <c r="BK41" s="732">
        <f t="shared" ref="BK41" si="65">+SUM(BG41:BJ41)</f>
        <v>0</v>
      </c>
      <c r="BL41" s="733"/>
      <c r="BM41" s="733"/>
      <c r="BN41" s="733"/>
      <c r="BO41" s="733"/>
      <c r="BP41" s="732">
        <f t="shared" ref="BP41" si="66">+SUM(BL41:BO41)</f>
        <v>0</v>
      </c>
      <c r="BQ41" s="733"/>
      <c r="BR41" s="733"/>
      <c r="BS41" s="733"/>
      <c r="BT41" s="733"/>
      <c r="BU41" s="732">
        <f t="shared" ref="BU41:BU50" si="67">+SUM(BQ41:BT41)</f>
        <v>0</v>
      </c>
      <c r="BV41" s="733"/>
      <c r="BW41" s="733"/>
      <c r="BX41" s="733"/>
      <c r="BY41" s="733"/>
      <c r="BZ41" s="732">
        <f t="shared" ref="BZ41:BZ50" si="68">+SUM(BV41:BY41)</f>
        <v>0</v>
      </c>
      <c r="CA41" s="733"/>
      <c r="CB41" s="733"/>
      <c r="CC41" s="733"/>
      <c r="CD41" s="733"/>
      <c r="CE41" s="732">
        <f t="shared" ref="CE41:CE50" si="69">+SUM(CA41:CD41)</f>
        <v>0</v>
      </c>
    </row>
    <row r="42" spans="1:83" ht="12.75" collapsed="1">
      <c r="B42" s="175" t="s">
        <v>325</v>
      </c>
      <c r="C42" s="166"/>
      <c r="D42" s="182"/>
      <c r="E42" s="182"/>
      <c r="F42" s="182"/>
      <c r="G42" s="182"/>
      <c r="H42" s="182">
        <v>1685</v>
      </c>
      <c r="I42" s="182"/>
      <c r="J42" s="182"/>
      <c r="K42" s="182"/>
      <c r="L42" s="182"/>
      <c r="M42" s="182">
        <v>4073</v>
      </c>
      <c r="N42" s="182">
        <v>1256</v>
      </c>
      <c r="O42" s="182">
        <v>1826</v>
      </c>
      <c r="P42" s="182">
        <v>1964</v>
      </c>
      <c r="Q42" s="182">
        <v>2593</v>
      </c>
      <c r="R42" s="182">
        <v>7639</v>
      </c>
      <c r="S42" s="182">
        <v>3448</v>
      </c>
      <c r="T42" s="182">
        <v>2099</v>
      </c>
      <c r="U42" s="182">
        <v>1047</v>
      </c>
      <c r="V42" s="182">
        <v>3501</v>
      </c>
      <c r="W42" s="562">
        <v>10095</v>
      </c>
      <c r="X42" s="182">
        <v>2113</v>
      </c>
      <c r="Y42" s="182">
        <v>7383</v>
      </c>
      <c r="Z42" s="182">
        <v>3033</v>
      </c>
      <c r="AA42" s="182">
        <v>2628</v>
      </c>
      <c r="AB42" s="562">
        <v>15157</v>
      </c>
      <c r="AC42" s="182">
        <v>5602</v>
      </c>
      <c r="AD42" s="182">
        <f>14603-AC42</f>
        <v>9001</v>
      </c>
      <c r="AE42" s="182">
        <f>22778-AD42-AC42</f>
        <v>8175</v>
      </c>
      <c r="AF42" s="182">
        <f t="shared" si="59"/>
        <v>8549</v>
      </c>
      <c r="AG42" s="562">
        <v>31327</v>
      </c>
      <c r="AH42" s="182">
        <v>7933</v>
      </c>
      <c r="AI42" s="182">
        <f>12174-AH42</f>
        <v>4241</v>
      </c>
      <c r="AJ42" s="182">
        <f>20896-AI42-AH42</f>
        <v>8722</v>
      </c>
      <c r="AK42" s="182">
        <f t="shared" si="60"/>
        <v>3157</v>
      </c>
      <c r="AL42" s="562">
        <v>24053</v>
      </c>
      <c r="AM42" s="182">
        <v>4047</v>
      </c>
      <c r="AN42" s="182">
        <v>4944</v>
      </c>
      <c r="AO42" s="182">
        <v>2023</v>
      </c>
      <c r="AP42" s="182">
        <v>13817</v>
      </c>
      <c r="AQ42" s="562">
        <f t="shared" si="61"/>
        <v>24831</v>
      </c>
      <c r="AR42" s="182">
        <v>4714</v>
      </c>
      <c r="AS42" s="182">
        <v>15716</v>
      </c>
      <c r="AT42" s="182">
        <v>3532</v>
      </c>
      <c r="AU42" s="182">
        <f>34461-AR42-AS42-AT42</f>
        <v>10499</v>
      </c>
      <c r="AV42" s="562">
        <f t="shared" si="62"/>
        <v>34461</v>
      </c>
      <c r="AW42" s="182">
        <f>2264</f>
        <v>2264</v>
      </c>
      <c r="AX42" s="182">
        <f>4438-AW42</f>
        <v>2174</v>
      </c>
      <c r="AY42" s="182">
        <f>10948-AW42-AX42</f>
        <v>6510</v>
      </c>
      <c r="AZ42" s="182">
        <f t="shared" ref="AZ42:AZ51" si="70">BA42-AY42-AX42-AW42</f>
        <v>39046</v>
      </c>
      <c r="BA42" s="562">
        <f>49994</f>
        <v>49994</v>
      </c>
      <c r="BB42" s="182">
        <f>2569</f>
        <v>2569</v>
      </c>
      <c r="BC42" s="182">
        <f>9073-BB42</f>
        <v>6504</v>
      </c>
      <c r="BD42" s="182">
        <f>23161-BC42-BB42+4445</f>
        <v>18533</v>
      </c>
      <c r="BE42" s="182">
        <f t="shared" ref="BE42:BE51" si="71">BF42-SUM(BB42:BD42)</f>
        <v>-3123</v>
      </c>
      <c r="BF42" s="732">
        <v>24483</v>
      </c>
      <c r="BG42" s="733">
        <f>2328</f>
        <v>2328</v>
      </c>
      <c r="BH42" s="733">
        <f>7148-BG42</f>
        <v>4820</v>
      </c>
      <c r="BI42" s="733">
        <f>28384-BH42-BG42</f>
        <v>21236</v>
      </c>
      <c r="BJ42" s="733">
        <f>BK42-BI42-BH42-BG42</f>
        <v>17192</v>
      </c>
      <c r="BK42" s="732">
        <f>45576</f>
        <v>45576</v>
      </c>
      <c r="BL42" s="733">
        <f>2770</f>
        <v>2770</v>
      </c>
      <c r="BM42" s="733">
        <f>5970-BL42</f>
        <v>3200</v>
      </c>
      <c r="BN42" s="733">
        <f>8311-BM42-BL42</f>
        <v>2341</v>
      </c>
      <c r="BO42" s="733">
        <f t="shared" ref="BO42:BO48" si="72">BP42-BN42-BM42-BL42</f>
        <v>8958</v>
      </c>
      <c r="BP42" s="732">
        <f>17269</f>
        <v>17269</v>
      </c>
      <c r="BQ42" s="733">
        <f>2599</f>
        <v>2599</v>
      </c>
      <c r="BR42" s="733">
        <f>5577-BQ42</f>
        <v>2978</v>
      </c>
      <c r="BS42" s="733">
        <f>8856-SUM(BQ42:BR42)</f>
        <v>3279</v>
      </c>
      <c r="BT42" s="733">
        <f>16294-BS42-BR42-BQ42</f>
        <v>7438</v>
      </c>
      <c r="BU42" s="732">
        <f t="shared" si="67"/>
        <v>16294</v>
      </c>
      <c r="BV42" s="733">
        <f>0</f>
        <v>0</v>
      </c>
      <c r="BW42" s="733">
        <f>0</f>
        <v>0</v>
      </c>
      <c r="BX42" s="733">
        <f>0</f>
        <v>0</v>
      </c>
      <c r="BY42" s="733">
        <f>0</f>
        <v>0</v>
      </c>
      <c r="BZ42" s="732">
        <f t="shared" si="68"/>
        <v>0</v>
      </c>
      <c r="CA42" s="733">
        <f>0</f>
        <v>0</v>
      </c>
      <c r="CB42" s="733">
        <f>0</f>
        <v>0</v>
      </c>
      <c r="CC42" s="733">
        <f>0</f>
        <v>0</v>
      </c>
      <c r="CD42" s="733">
        <f>0</f>
        <v>0</v>
      </c>
      <c r="CE42" s="732">
        <f t="shared" si="69"/>
        <v>0</v>
      </c>
    </row>
    <row r="43" spans="1:83" ht="12.75" hidden="1" outlineLevel="1">
      <c r="B43" s="175" t="s">
        <v>326</v>
      </c>
      <c r="C43" s="166"/>
      <c r="D43" s="182"/>
      <c r="E43" s="182"/>
      <c r="F43" s="182"/>
      <c r="G43" s="182"/>
      <c r="H43" s="182">
        <v>384</v>
      </c>
      <c r="I43" s="182"/>
      <c r="J43" s="182"/>
      <c r="K43" s="182"/>
      <c r="L43" s="182"/>
      <c r="M43" s="182">
        <v>40</v>
      </c>
      <c r="N43" s="182">
        <v>0</v>
      </c>
      <c r="O43" s="182">
        <v>0</v>
      </c>
      <c r="P43" s="182">
        <v>0</v>
      </c>
      <c r="Q43" s="182">
        <v>0</v>
      </c>
      <c r="R43" s="182">
        <v>0</v>
      </c>
      <c r="S43" s="182">
        <v>0</v>
      </c>
      <c r="T43" s="182">
        <v>0</v>
      </c>
      <c r="U43" s="182">
        <v>0</v>
      </c>
      <c r="V43" s="182">
        <v>0</v>
      </c>
      <c r="W43" s="562">
        <v>0</v>
      </c>
      <c r="X43" s="182">
        <v>0</v>
      </c>
      <c r="Y43" s="182">
        <v>0</v>
      </c>
      <c r="Z43" s="182">
        <v>0</v>
      </c>
      <c r="AA43" s="182">
        <v>0</v>
      </c>
      <c r="AB43" s="562">
        <v>0</v>
      </c>
      <c r="AC43" s="182">
        <v>0</v>
      </c>
      <c r="AD43" s="182">
        <f>0-AC43</f>
        <v>0</v>
      </c>
      <c r="AE43" s="182">
        <f t="shared" ref="AE43:AE48" si="73">0-AD43-AC43</f>
        <v>0</v>
      </c>
      <c r="AF43" s="182">
        <f t="shared" si="59"/>
        <v>0</v>
      </c>
      <c r="AG43" s="562">
        <v>0</v>
      </c>
      <c r="AH43" s="182">
        <v>0</v>
      </c>
      <c r="AI43" s="182">
        <v>0</v>
      </c>
      <c r="AJ43" s="182">
        <v>0</v>
      </c>
      <c r="AK43" s="182">
        <f t="shared" si="60"/>
        <v>0</v>
      </c>
      <c r="AL43" s="562">
        <v>0</v>
      </c>
      <c r="AM43" s="182">
        <v>0</v>
      </c>
      <c r="AN43" s="182">
        <v>0</v>
      </c>
      <c r="AO43" s="182">
        <v>0</v>
      </c>
      <c r="AP43" s="182">
        <v>0</v>
      </c>
      <c r="AQ43" s="562">
        <f t="shared" si="61"/>
        <v>0</v>
      </c>
      <c r="AR43" s="182"/>
      <c r="AS43" s="182"/>
      <c r="AT43" s="182"/>
      <c r="AU43" s="182">
        <f t="shared" ref="AU43:AU45" si="74">0-AR43-AS43-AT43</f>
        <v>0</v>
      </c>
      <c r="AV43" s="562">
        <f t="shared" si="62"/>
        <v>0</v>
      </c>
      <c r="AW43" s="182"/>
      <c r="AX43" s="182"/>
      <c r="AY43" s="182"/>
      <c r="AZ43" s="182"/>
      <c r="BA43" s="562">
        <f t="shared" si="63"/>
        <v>0</v>
      </c>
      <c r="BB43" s="182"/>
      <c r="BC43" s="182"/>
      <c r="BD43" s="182"/>
      <c r="BE43" s="182">
        <f t="shared" si="71"/>
        <v>0</v>
      </c>
      <c r="BF43" s="732"/>
      <c r="BG43" s="733"/>
      <c r="BH43" s="733"/>
      <c r="BI43" s="733"/>
      <c r="BJ43" s="733">
        <f t="shared" ref="BJ43:BJ51" si="75">BK43-BI43-BH43-BG43</f>
        <v>0</v>
      </c>
      <c r="BK43" s="732"/>
      <c r="BL43" s="733"/>
      <c r="BM43" s="733"/>
      <c r="BN43" s="733"/>
      <c r="BO43" s="733">
        <f t="shared" si="72"/>
        <v>0</v>
      </c>
      <c r="BP43" s="732"/>
      <c r="BQ43" s="733"/>
      <c r="BR43" s="733">
        <f>0</f>
        <v>0</v>
      </c>
      <c r="BS43" s="733">
        <f>0</f>
        <v>0</v>
      </c>
      <c r="BT43" s="733"/>
      <c r="BU43" s="732">
        <f t="shared" si="67"/>
        <v>0</v>
      </c>
      <c r="BV43" s="733">
        <f>0</f>
        <v>0</v>
      </c>
      <c r="BW43" s="733">
        <f>0</f>
        <v>0</v>
      </c>
      <c r="BX43" s="733">
        <f>0</f>
        <v>0</v>
      </c>
      <c r="BY43" s="733">
        <f>0</f>
        <v>0</v>
      </c>
      <c r="BZ43" s="732">
        <f t="shared" si="68"/>
        <v>0</v>
      </c>
      <c r="CA43" s="733">
        <f>0</f>
        <v>0</v>
      </c>
      <c r="CB43" s="733">
        <f>0</f>
        <v>0</v>
      </c>
      <c r="CC43" s="733">
        <f>0</f>
        <v>0</v>
      </c>
      <c r="CD43" s="733">
        <f>0</f>
        <v>0</v>
      </c>
      <c r="CE43" s="732">
        <f t="shared" si="69"/>
        <v>0</v>
      </c>
    </row>
    <row r="44" spans="1:83" ht="12.75" hidden="1" outlineLevel="1">
      <c r="B44" s="175" t="s">
        <v>314</v>
      </c>
      <c r="C44" s="166"/>
      <c r="D44" s="182"/>
      <c r="E44" s="182"/>
      <c r="F44" s="182"/>
      <c r="G44" s="182"/>
      <c r="H44" s="182">
        <v>0</v>
      </c>
      <c r="I44" s="182"/>
      <c r="J44" s="182"/>
      <c r="K44" s="182"/>
      <c r="L44" s="182"/>
      <c r="M44" s="182">
        <v>150</v>
      </c>
      <c r="N44" s="182">
        <v>17</v>
      </c>
      <c r="O44" s="182">
        <v>37</v>
      </c>
      <c r="P44" s="182">
        <v>77</v>
      </c>
      <c r="Q44" s="182">
        <v>128</v>
      </c>
      <c r="R44" s="182">
        <v>259</v>
      </c>
      <c r="S44" s="182">
        <v>91</v>
      </c>
      <c r="T44" s="182">
        <v>100</v>
      </c>
      <c r="U44" s="182">
        <v>124</v>
      </c>
      <c r="V44" s="182">
        <v>172</v>
      </c>
      <c r="W44" s="562">
        <v>487</v>
      </c>
      <c r="X44" s="182">
        <v>3095</v>
      </c>
      <c r="Y44" s="182">
        <v>618</v>
      </c>
      <c r="Z44" s="182">
        <v>1119</v>
      </c>
      <c r="AA44" s="182">
        <v>3868</v>
      </c>
      <c r="AB44" s="562">
        <v>8700</v>
      </c>
      <c r="AC44" s="182">
        <v>0</v>
      </c>
      <c r="AD44" s="182">
        <f>0-AC44</f>
        <v>0</v>
      </c>
      <c r="AE44" s="182">
        <f t="shared" si="73"/>
        <v>0</v>
      </c>
      <c r="AF44" s="182">
        <f t="shared" si="59"/>
        <v>0</v>
      </c>
      <c r="AG44" s="562">
        <v>0</v>
      </c>
      <c r="AH44" s="182">
        <v>0</v>
      </c>
      <c r="AI44" s="182">
        <v>0</v>
      </c>
      <c r="AJ44" s="182">
        <v>0</v>
      </c>
      <c r="AK44" s="182">
        <f t="shared" si="60"/>
        <v>0</v>
      </c>
      <c r="AL44" s="562">
        <v>0</v>
      </c>
      <c r="AM44" s="182">
        <v>0</v>
      </c>
      <c r="AN44" s="182">
        <v>0</v>
      </c>
      <c r="AO44" s="182">
        <v>0</v>
      </c>
      <c r="AP44" s="182">
        <v>0</v>
      </c>
      <c r="AQ44" s="562">
        <f t="shared" si="61"/>
        <v>0</v>
      </c>
      <c r="AR44" s="182"/>
      <c r="AS44" s="182"/>
      <c r="AT44" s="182"/>
      <c r="AU44" s="182">
        <f t="shared" si="74"/>
        <v>0</v>
      </c>
      <c r="AV44" s="562">
        <f t="shared" si="62"/>
        <v>0</v>
      </c>
      <c r="AW44" s="182"/>
      <c r="AX44" s="182"/>
      <c r="AY44" s="182"/>
      <c r="AZ44" s="182"/>
      <c r="BA44" s="562">
        <f t="shared" si="63"/>
        <v>0</v>
      </c>
      <c r="BB44" s="182"/>
      <c r="BC44" s="182"/>
      <c r="BD44" s="182"/>
      <c r="BE44" s="182">
        <f t="shared" si="71"/>
        <v>0</v>
      </c>
      <c r="BF44" s="732"/>
      <c r="BG44" s="733"/>
      <c r="BH44" s="733"/>
      <c r="BI44" s="733"/>
      <c r="BJ44" s="733">
        <f t="shared" si="75"/>
        <v>0</v>
      </c>
      <c r="BK44" s="732"/>
      <c r="BL44" s="733"/>
      <c r="BM44" s="733"/>
      <c r="BN44" s="733"/>
      <c r="BO44" s="733">
        <f t="shared" si="72"/>
        <v>0</v>
      </c>
      <c r="BP44" s="732"/>
      <c r="BQ44" s="733"/>
      <c r="BR44" s="733">
        <f>0</f>
        <v>0</v>
      </c>
      <c r="BS44" s="733">
        <f>0</f>
        <v>0</v>
      </c>
      <c r="BT44" s="733"/>
      <c r="BU44" s="732">
        <f t="shared" si="67"/>
        <v>0</v>
      </c>
      <c r="BV44" s="733">
        <f>0</f>
        <v>0</v>
      </c>
      <c r="BW44" s="733">
        <f>0</f>
        <v>0</v>
      </c>
      <c r="BX44" s="733">
        <f>0</f>
        <v>0</v>
      </c>
      <c r="BY44" s="733">
        <f>0</f>
        <v>0</v>
      </c>
      <c r="BZ44" s="732">
        <f t="shared" si="68"/>
        <v>0</v>
      </c>
      <c r="CA44" s="733">
        <f>0</f>
        <v>0</v>
      </c>
      <c r="CB44" s="733">
        <f>0</f>
        <v>0</v>
      </c>
      <c r="CC44" s="733">
        <f>0</f>
        <v>0</v>
      </c>
      <c r="CD44" s="733">
        <f>0</f>
        <v>0</v>
      </c>
      <c r="CE44" s="732">
        <f t="shared" si="69"/>
        <v>0</v>
      </c>
    </row>
    <row r="45" spans="1:83" ht="12.75" hidden="1" outlineLevel="1">
      <c r="B45" s="175" t="s">
        <v>327</v>
      </c>
      <c r="C45" s="166"/>
      <c r="D45" s="182"/>
      <c r="E45" s="182"/>
      <c r="F45" s="182"/>
      <c r="G45" s="182"/>
      <c r="H45" s="182">
        <v>0</v>
      </c>
      <c r="I45" s="182"/>
      <c r="J45" s="182"/>
      <c r="K45" s="182"/>
      <c r="L45" s="182"/>
      <c r="M45" s="182">
        <v>0</v>
      </c>
      <c r="N45" s="182">
        <v>0</v>
      </c>
      <c r="O45" s="182">
        <v>0</v>
      </c>
      <c r="P45" s="182">
        <v>0</v>
      </c>
      <c r="Q45" s="182">
        <v>0</v>
      </c>
      <c r="R45" s="182">
        <v>0</v>
      </c>
      <c r="S45" s="182">
        <v>0</v>
      </c>
      <c r="T45" s="182">
        <v>0</v>
      </c>
      <c r="U45" s="182">
        <v>0</v>
      </c>
      <c r="V45" s="182">
        <v>0</v>
      </c>
      <c r="W45" s="562">
        <v>0</v>
      </c>
      <c r="X45" s="182">
        <v>0</v>
      </c>
      <c r="Y45" s="182">
        <v>0</v>
      </c>
      <c r="Z45" s="182">
        <v>0</v>
      </c>
      <c r="AA45" s="182">
        <v>0</v>
      </c>
      <c r="AB45" s="562">
        <v>0</v>
      </c>
      <c r="AC45" s="182">
        <v>0</v>
      </c>
      <c r="AD45" s="182">
        <f>0-AC45</f>
        <v>0</v>
      </c>
      <c r="AE45" s="182">
        <f t="shared" si="73"/>
        <v>0</v>
      </c>
      <c r="AF45" s="182">
        <f t="shared" si="59"/>
        <v>0</v>
      </c>
      <c r="AG45" s="562">
        <v>0</v>
      </c>
      <c r="AH45" s="182">
        <v>0</v>
      </c>
      <c r="AI45" s="182">
        <v>0</v>
      </c>
      <c r="AJ45" s="182">
        <v>0</v>
      </c>
      <c r="AK45" s="182">
        <f t="shared" si="60"/>
        <v>0</v>
      </c>
      <c r="AL45" s="562">
        <v>0</v>
      </c>
      <c r="AM45" s="182">
        <v>0</v>
      </c>
      <c r="AN45" s="182">
        <v>0</v>
      </c>
      <c r="AO45" s="182">
        <v>0</v>
      </c>
      <c r="AP45" s="182">
        <v>0</v>
      </c>
      <c r="AQ45" s="562">
        <f t="shared" si="61"/>
        <v>0</v>
      </c>
      <c r="AR45" s="182"/>
      <c r="AS45" s="182"/>
      <c r="AT45" s="182"/>
      <c r="AU45" s="182">
        <f t="shared" si="74"/>
        <v>0</v>
      </c>
      <c r="AV45" s="562">
        <f t="shared" si="62"/>
        <v>0</v>
      </c>
      <c r="AW45" s="182"/>
      <c r="AX45" s="182"/>
      <c r="AY45" s="182"/>
      <c r="AZ45" s="182"/>
      <c r="BA45" s="562">
        <f t="shared" si="63"/>
        <v>0</v>
      </c>
      <c r="BB45" s="182"/>
      <c r="BC45" s="182"/>
      <c r="BD45" s="182"/>
      <c r="BE45" s="182">
        <f t="shared" si="71"/>
        <v>0</v>
      </c>
      <c r="BF45" s="732"/>
      <c r="BG45" s="733"/>
      <c r="BH45" s="733"/>
      <c r="BI45" s="733"/>
      <c r="BJ45" s="733">
        <f t="shared" si="75"/>
        <v>0</v>
      </c>
      <c r="BK45" s="732"/>
      <c r="BL45" s="733"/>
      <c r="BM45" s="733"/>
      <c r="BN45" s="733"/>
      <c r="BO45" s="733">
        <f t="shared" si="72"/>
        <v>0</v>
      </c>
      <c r="BP45" s="732"/>
      <c r="BQ45" s="733"/>
      <c r="BR45" s="733">
        <f>0</f>
        <v>0</v>
      </c>
      <c r="BS45" s="733">
        <f>0</f>
        <v>0</v>
      </c>
      <c r="BT45" s="733"/>
      <c r="BU45" s="732">
        <f t="shared" si="67"/>
        <v>0</v>
      </c>
      <c r="BV45" s="733">
        <f>0</f>
        <v>0</v>
      </c>
      <c r="BW45" s="733">
        <f>0</f>
        <v>0</v>
      </c>
      <c r="BX45" s="733">
        <f>0</f>
        <v>0</v>
      </c>
      <c r="BY45" s="733">
        <f>0</f>
        <v>0</v>
      </c>
      <c r="BZ45" s="732">
        <f t="shared" si="68"/>
        <v>0</v>
      </c>
      <c r="CA45" s="733">
        <f>0</f>
        <v>0</v>
      </c>
      <c r="CB45" s="733">
        <f>0</f>
        <v>0</v>
      </c>
      <c r="CC45" s="733">
        <f>0</f>
        <v>0</v>
      </c>
      <c r="CD45" s="733">
        <f>0</f>
        <v>0</v>
      </c>
      <c r="CE45" s="732">
        <f t="shared" si="69"/>
        <v>0</v>
      </c>
    </row>
    <row r="46" spans="1:83" ht="12.75" collapsed="1">
      <c r="B46" s="175" t="s">
        <v>328</v>
      </c>
      <c r="C46" s="166"/>
      <c r="D46" s="182"/>
      <c r="E46" s="182"/>
      <c r="F46" s="182"/>
      <c r="G46" s="182"/>
      <c r="H46" s="182">
        <v>0</v>
      </c>
      <c r="I46" s="182"/>
      <c r="J46" s="182"/>
      <c r="K46" s="182"/>
      <c r="L46" s="182"/>
      <c r="M46" s="182">
        <v>0</v>
      </c>
      <c r="N46" s="182">
        <v>0</v>
      </c>
      <c r="O46" s="182">
        <v>0</v>
      </c>
      <c r="P46" s="182">
        <v>0</v>
      </c>
      <c r="Q46" s="182">
        <v>0</v>
      </c>
      <c r="R46" s="182">
        <v>0</v>
      </c>
      <c r="S46" s="182">
        <v>0</v>
      </c>
      <c r="T46" s="182">
        <v>0</v>
      </c>
      <c r="U46" s="182">
        <v>0</v>
      </c>
      <c r="V46" s="182">
        <v>0</v>
      </c>
      <c r="W46" s="562">
        <v>0</v>
      </c>
      <c r="X46" s="182">
        <v>0</v>
      </c>
      <c r="Y46" s="182">
        <v>0</v>
      </c>
      <c r="Z46" s="182">
        <v>-202</v>
      </c>
      <c r="AA46" s="182">
        <v>-236</v>
      </c>
      <c r="AB46" s="562">
        <v>-438</v>
      </c>
      <c r="AC46" s="182">
        <v>-14107</v>
      </c>
      <c r="AD46" s="182">
        <f>+-15154-AC46</f>
        <v>-1047</v>
      </c>
      <c r="AE46" s="182">
        <f>+-17571-AD46-AC46</f>
        <v>-2417</v>
      </c>
      <c r="AF46" s="182">
        <f t="shared" si="59"/>
        <v>-3353</v>
      </c>
      <c r="AG46" s="562">
        <v>-20924</v>
      </c>
      <c r="AH46" s="182">
        <v>-4030</v>
      </c>
      <c r="AI46" s="182">
        <f>+-8935-AH46</f>
        <v>-4905</v>
      </c>
      <c r="AJ46" s="182">
        <f>+-12010-AI46-AH46</f>
        <v>-3075</v>
      </c>
      <c r="AK46" s="182">
        <f t="shared" si="60"/>
        <v>-2869</v>
      </c>
      <c r="AL46" s="562">
        <v>-14879</v>
      </c>
      <c r="AM46" s="182">
        <v>-3367</v>
      </c>
      <c r="AN46" s="182">
        <v>-4044</v>
      </c>
      <c r="AO46" s="182">
        <v>-3453</v>
      </c>
      <c r="AP46" s="182">
        <v>-4879</v>
      </c>
      <c r="AQ46" s="562">
        <f t="shared" si="61"/>
        <v>-15743</v>
      </c>
      <c r="AR46" s="182">
        <v>-5000</v>
      </c>
      <c r="AS46" s="182">
        <v>-6115</v>
      </c>
      <c r="AT46" s="182">
        <v>-5223</v>
      </c>
      <c r="AU46" s="182">
        <f>-20199-AR46-AS46-AT46</f>
        <v>-3861</v>
      </c>
      <c r="AV46" s="562">
        <f t="shared" si="62"/>
        <v>-20199</v>
      </c>
      <c r="AW46" s="182">
        <f>-17643</f>
        <v>-17643</v>
      </c>
      <c r="AX46" s="182">
        <f>-21017-AW46</f>
        <v>-3374</v>
      </c>
      <c r="AY46" s="182">
        <f>-24194-AW46-AX46</f>
        <v>-3177</v>
      </c>
      <c r="AZ46" s="182">
        <f t="shared" si="70"/>
        <v>-3621</v>
      </c>
      <c r="BA46" s="562">
        <f>-27815</f>
        <v>-27815</v>
      </c>
      <c r="BB46" s="182">
        <f>-3631</f>
        <v>-3631</v>
      </c>
      <c r="BC46" s="182">
        <f>-8161-BB46</f>
        <v>-4530</v>
      </c>
      <c r="BD46" s="182">
        <f>-12853-BC46-BB46</f>
        <v>-4692</v>
      </c>
      <c r="BE46" s="182">
        <f t="shared" si="71"/>
        <v>-4762</v>
      </c>
      <c r="BF46" s="732">
        <f>-17615</f>
        <v>-17615</v>
      </c>
      <c r="BG46" s="733">
        <f>-5105</f>
        <v>-5105</v>
      </c>
      <c r="BH46" s="733">
        <f>-9494-BG46</f>
        <v>-4389</v>
      </c>
      <c r="BI46" s="733">
        <f>-14998-BH46-BG46</f>
        <v>-5504</v>
      </c>
      <c r="BJ46" s="733">
        <f t="shared" si="75"/>
        <v>-7348</v>
      </c>
      <c r="BK46" s="732">
        <f>-22346</f>
        <v>-22346</v>
      </c>
      <c r="BL46" s="733">
        <f>-11808</f>
        <v>-11808</v>
      </c>
      <c r="BM46" s="733">
        <f>-17711-BL46</f>
        <v>-5903</v>
      </c>
      <c r="BN46" s="733">
        <f>-23093-BM46-BL46</f>
        <v>-5382</v>
      </c>
      <c r="BO46" s="733">
        <f t="shared" si="72"/>
        <v>-5323</v>
      </c>
      <c r="BP46" s="732">
        <f>-28416</f>
        <v>-28416</v>
      </c>
      <c r="BQ46" s="733">
        <f>-10831</f>
        <v>-10831</v>
      </c>
      <c r="BR46" s="733">
        <f>-15267-BQ46</f>
        <v>-4436</v>
      </c>
      <c r="BS46" s="733">
        <f>-20200-SUM(BQ46:BR46)</f>
        <v>-4933</v>
      </c>
      <c r="BT46" s="733">
        <f>-25020-BS46-BR46-BQ46</f>
        <v>-4820</v>
      </c>
      <c r="BU46" s="732">
        <f t="shared" si="67"/>
        <v>-25020</v>
      </c>
      <c r="BV46" s="733">
        <f>0</f>
        <v>0</v>
      </c>
      <c r="BW46" s="733">
        <f>0</f>
        <v>0</v>
      </c>
      <c r="BX46" s="733">
        <f>0</f>
        <v>0</v>
      </c>
      <c r="BY46" s="733">
        <f>0</f>
        <v>0</v>
      </c>
      <c r="BZ46" s="732">
        <f t="shared" si="68"/>
        <v>0</v>
      </c>
      <c r="CA46" s="733">
        <f>0</f>
        <v>0</v>
      </c>
      <c r="CB46" s="733">
        <f>0</f>
        <v>0</v>
      </c>
      <c r="CC46" s="733">
        <f>0</f>
        <v>0</v>
      </c>
      <c r="CD46" s="733">
        <f>0</f>
        <v>0</v>
      </c>
      <c r="CE46" s="732">
        <f t="shared" si="69"/>
        <v>0</v>
      </c>
    </row>
    <row r="47" spans="1:83" ht="12.75">
      <c r="B47" s="175" t="s">
        <v>288</v>
      </c>
      <c r="C47" s="166"/>
      <c r="D47" s="182"/>
      <c r="E47" s="182"/>
      <c r="F47" s="182"/>
      <c r="G47" s="182"/>
      <c r="H47" s="182">
        <v>-2401</v>
      </c>
      <c r="I47" s="182"/>
      <c r="J47" s="182"/>
      <c r="K47" s="182"/>
      <c r="L47" s="182"/>
      <c r="M47" s="182">
        <v>-1186</v>
      </c>
      <c r="N47" s="182">
        <v>-267</v>
      </c>
      <c r="O47" s="182">
        <v>-269</v>
      </c>
      <c r="P47" s="182">
        <v>-269</v>
      </c>
      <c r="Q47" s="182">
        <v>0</v>
      </c>
      <c r="R47" s="182">
        <v>-805</v>
      </c>
      <c r="S47" s="182">
        <v>0</v>
      </c>
      <c r="T47" s="182">
        <v>0</v>
      </c>
      <c r="U47" s="182">
        <v>0</v>
      </c>
      <c r="V47" s="182">
        <v>0</v>
      </c>
      <c r="W47" s="562">
        <v>0</v>
      </c>
      <c r="X47" s="182">
        <v>0</v>
      </c>
      <c r="Y47" s="182">
        <v>0</v>
      </c>
      <c r="Z47" s="182">
        <v>0</v>
      </c>
      <c r="AA47" s="182">
        <v>0</v>
      </c>
      <c r="AB47" s="562">
        <v>0</v>
      </c>
      <c r="AC47" s="182">
        <v>0</v>
      </c>
      <c r="AD47" s="182">
        <f>0-AC47</f>
        <v>0</v>
      </c>
      <c r="AE47" s="182">
        <f t="shared" si="73"/>
        <v>0</v>
      </c>
      <c r="AF47" s="182">
        <f t="shared" si="59"/>
        <v>0</v>
      </c>
      <c r="AG47" s="562">
        <v>0</v>
      </c>
      <c r="AH47" s="182">
        <v>-747</v>
      </c>
      <c r="AI47" s="182">
        <f>+-794-AH47</f>
        <v>-47</v>
      </c>
      <c r="AJ47" s="182">
        <f>+-1203-AI47-AH47</f>
        <v>-409</v>
      </c>
      <c r="AK47" s="182">
        <f t="shared" si="60"/>
        <v>-414</v>
      </c>
      <c r="AL47" s="562">
        <v>-1617</v>
      </c>
      <c r="AM47" s="182">
        <v>-419</v>
      </c>
      <c r="AN47" s="182">
        <v>-417</v>
      </c>
      <c r="AO47" s="182">
        <v>-437</v>
      </c>
      <c r="AP47" s="182">
        <v>-436</v>
      </c>
      <c r="AQ47" s="562">
        <f t="shared" si="61"/>
        <v>-1709</v>
      </c>
      <c r="AR47" s="182">
        <v>-30</v>
      </c>
      <c r="AS47" s="182">
        <v>-31</v>
      </c>
      <c r="AT47" s="182">
        <v>-31</v>
      </c>
      <c r="AU47" s="182">
        <f>-114-AR47-AS47-AT47</f>
        <v>-22</v>
      </c>
      <c r="AV47" s="562">
        <f t="shared" si="62"/>
        <v>-114</v>
      </c>
      <c r="AW47" s="182">
        <f>0</f>
        <v>0</v>
      </c>
      <c r="AX47" s="182">
        <f>-90-AW47</f>
        <v>-90</v>
      </c>
      <c r="AY47" s="182">
        <f>-90-AW47-AX47</f>
        <v>0</v>
      </c>
      <c r="AZ47" s="182">
        <f t="shared" si="70"/>
        <v>0</v>
      </c>
      <c r="BA47" s="562">
        <f>-90</f>
        <v>-90</v>
      </c>
      <c r="BB47" s="182">
        <v>0</v>
      </c>
      <c r="BC47" s="182">
        <v>0</v>
      </c>
      <c r="BD47" s="182">
        <v>0</v>
      </c>
      <c r="BE47" s="182">
        <f t="shared" si="71"/>
        <v>0</v>
      </c>
      <c r="BF47" s="732">
        <f>0</f>
        <v>0</v>
      </c>
      <c r="BG47" s="733"/>
      <c r="BH47" s="733"/>
      <c r="BI47" s="733"/>
      <c r="BJ47" s="733">
        <f t="shared" si="75"/>
        <v>0</v>
      </c>
      <c r="BK47" s="732">
        <f>0</f>
        <v>0</v>
      </c>
      <c r="BL47" s="733">
        <f>0</f>
        <v>0</v>
      </c>
      <c r="BM47" s="733">
        <f>0</f>
        <v>0</v>
      </c>
      <c r="BN47" s="733">
        <f>0</f>
        <v>0</v>
      </c>
      <c r="BO47" s="733">
        <f>0</f>
        <v>0</v>
      </c>
      <c r="BP47" s="732">
        <f>0</f>
        <v>0</v>
      </c>
      <c r="BQ47" s="733">
        <f>0</f>
        <v>0</v>
      </c>
      <c r="BR47" s="733">
        <f>0</f>
        <v>0</v>
      </c>
      <c r="BS47" s="733">
        <f>0</f>
        <v>0</v>
      </c>
      <c r="BT47" s="733">
        <f>0</f>
        <v>0</v>
      </c>
      <c r="BU47" s="732">
        <f t="shared" si="67"/>
        <v>0</v>
      </c>
      <c r="BV47" s="733">
        <f>0</f>
        <v>0</v>
      </c>
      <c r="BW47" s="733">
        <f>0</f>
        <v>0</v>
      </c>
      <c r="BX47" s="733">
        <f>0</f>
        <v>0</v>
      </c>
      <c r="BY47" s="733">
        <f>0</f>
        <v>0</v>
      </c>
      <c r="BZ47" s="732">
        <f t="shared" si="68"/>
        <v>0</v>
      </c>
      <c r="CA47" s="733">
        <f>0</f>
        <v>0</v>
      </c>
      <c r="CB47" s="733">
        <f>0</f>
        <v>0</v>
      </c>
      <c r="CC47" s="733">
        <f>0</f>
        <v>0</v>
      </c>
      <c r="CD47" s="733">
        <f>0</f>
        <v>0</v>
      </c>
      <c r="CE47" s="732">
        <f t="shared" si="69"/>
        <v>0</v>
      </c>
    </row>
    <row r="48" spans="1:83" ht="12.75" hidden="1" outlineLevel="1">
      <c r="B48" s="175" t="s">
        <v>329</v>
      </c>
      <c r="C48" s="166"/>
      <c r="D48" s="182"/>
      <c r="E48" s="182"/>
      <c r="F48" s="182"/>
      <c r="G48" s="182"/>
      <c r="H48" s="182">
        <v>-1000</v>
      </c>
      <c r="I48" s="182"/>
      <c r="J48" s="182"/>
      <c r="K48" s="182"/>
      <c r="L48" s="182"/>
      <c r="M48" s="182">
        <v>0</v>
      </c>
      <c r="N48" s="182">
        <v>0</v>
      </c>
      <c r="O48" s="182">
        <v>0</v>
      </c>
      <c r="P48" s="182">
        <v>0</v>
      </c>
      <c r="Q48" s="182">
        <v>0</v>
      </c>
      <c r="R48" s="182">
        <v>0</v>
      </c>
      <c r="S48" s="182">
        <v>0</v>
      </c>
      <c r="T48" s="182">
        <v>0</v>
      </c>
      <c r="U48" s="182">
        <v>0</v>
      </c>
      <c r="V48" s="182">
        <v>0</v>
      </c>
      <c r="W48" s="562">
        <v>0</v>
      </c>
      <c r="X48" s="182">
        <v>0</v>
      </c>
      <c r="Y48" s="182">
        <v>0</v>
      </c>
      <c r="Z48" s="182">
        <v>0</v>
      </c>
      <c r="AA48" s="182">
        <v>0</v>
      </c>
      <c r="AB48" s="562">
        <v>0</v>
      </c>
      <c r="AC48" s="182">
        <v>0</v>
      </c>
      <c r="AD48" s="182">
        <f>0-AC48</f>
        <v>0</v>
      </c>
      <c r="AE48" s="182">
        <f t="shared" si="73"/>
        <v>0</v>
      </c>
      <c r="AF48" s="182">
        <f t="shared" si="59"/>
        <v>0</v>
      </c>
      <c r="AG48" s="562">
        <v>0</v>
      </c>
      <c r="AH48" s="182">
        <v>0</v>
      </c>
      <c r="AI48" s="182">
        <v>0</v>
      </c>
      <c r="AJ48" s="182">
        <v>0</v>
      </c>
      <c r="AK48" s="182">
        <f t="shared" si="60"/>
        <v>0</v>
      </c>
      <c r="AL48" s="562">
        <v>0</v>
      </c>
      <c r="AM48" s="182">
        <v>0</v>
      </c>
      <c r="AN48" s="182">
        <v>0</v>
      </c>
      <c r="AO48" s="182">
        <v>0</v>
      </c>
      <c r="AP48" s="182">
        <v>0</v>
      </c>
      <c r="AQ48" s="562">
        <f t="shared" si="61"/>
        <v>0</v>
      </c>
      <c r="AR48" s="182"/>
      <c r="AS48" s="182"/>
      <c r="AT48" s="182"/>
      <c r="AU48" s="182">
        <f t="shared" ref="AU48:AU50" si="76">0-AR48-AS48-AT48</f>
        <v>0</v>
      </c>
      <c r="AV48" s="562">
        <f t="shared" si="62"/>
        <v>0</v>
      </c>
      <c r="AW48" s="182"/>
      <c r="AX48" s="182"/>
      <c r="AY48" s="182"/>
      <c r="AZ48" s="182"/>
      <c r="BA48" s="562">
        <f t="shared" si="63"/>
        <v>0</v>
      </c>
      <c r="BB48" s="182"/>
      <c r="BC48" s="182"/>
      <c r="BD48" s="182"/>
      <c r="BE48" s="182">
        <f t="shared" si="71"/>
        <v>0</v>
      </c>
      <c r="BF48" s="732">
        <f>0</f>
        <v>0</v>
      </c>
      <c r="BG48" s="733"/>
      <c r="BH48" s="733"/>
      <c r="BI48" s="733"/>
      <c r="BJ48" s="733">
        <f t="shared" ref="BJ48:BJ50" si="77">BK48-BI48-BH48-BG48</f>
        <v>0</v>
      </c>
      <c r="BK48" s="732">
        <f>0</f>
        <v>0</v>
      </c>
      <c r="BL48" s="733">
        <f>-1500</f>
        <v>-1500</v>
      </c>
      <c r="BM48" s="733">
        <f>-1500-BL48</f>
        <v>0</v>
      </c>
      <c r="BN48" s="733">
        <f>-1500-BM48-BL48</f>
        <v>0</v>
      </c>
      <c r="BO48" s="733">
        <f t="shared" si="72"/>
        <v>0</v>
      </c>
      <c r="BP48" s="732">
        <f>-1500</f>
        <v>-1500</v>
      </c>
      <c r="BQ48" s="733">
        <f>0</f>
        <v>0</v>
      </c>
      <c r="BR48" s="733">
        <f>0</f>
        <v>0</v>
      </c>
      <c r="BS48" s="733">
        <f>0</f>
        <v>0</v>
      </c>
      <c r="BT48" s="733"/>
      <c r="BU48" s="732">
        <f t="shared" si="67"/>
        <v>0</v>
      </c>
      <c r="BV48" s="733">
        <f>0</f>
        <v>0</v>
      </c>
      <c r="BW48" s="733">
        <f>0</f>
        <v>0</v>
      </c>
      <c r="BX48" s="733">
        <f>0</f>
        <v>0</v>
      </c>
      <c r="BY48" s="733">
        <f>0</f>
        <v>0</v>
      </c>
      <c r="BZ48" s="732">
        <f t="shared" si="68"/>
        <v>0</v>
      </c>
      <c r="CA48" s="733">
        <f>0</f>
        <v>0</v>
      </c>
      <c r="CB48" s="733">
        <f>0</f>
        <v>0</v>
      </c>
      <c r="CC48" s="733">
        <f>0</f>
        <v>0</v>
      </c>
      <c r="CD48" s="733">
        <f>0</f>
        <v>0</v>
      </c>
      <c r="CE48" s="732">
        <f t="shared" si="69"/>
        <v>0</v>
      </c>
    </row>
    <row r="49" spans="2:83" ht="12.75" hidden="1" outlineLevel="1">
      <c r="B49" s="175" t="s">
        <v>104</v>
      </c>
      <c r="C49" s="166"/>
      <c r="D49" s="182"/>
      <c r="E49" s="182"/>
      <c r="F49" s="182"/>
      <c r="G49" s="182"/>
      <c r="H49" s="182">
        <v>0</v>
      </c>
      <c r="I49" s="182"/>
      <c r="J49" s="182"/>
      <c r="K49" s="182"/>
      <c r="L49" s="182"/>
      <c r="M49" s="182">
        <v>0</v>
      </c>
      <c r="N49" s="182">
        <v>0</v>
      </c>
      <c r="O49" s="182">
        <v>0</v>
      </c>
      <c r="P49" s="182">
        <v>0</v>
      </c>
      <c r="Q49" s="182">
        <v>0</v>
      </c>
      <c r="R49" s="182">
        <v>0</v>
      </c>
      <c r="S49" s="182">
        <v>0</v>
      </c>
      <c r="T49" s="182">
        <v>0</v>
      </c>
      <c r="U49" s="182">
        <v>0</v>
      </c>
      <c r="V49" s="182">
        <v>0</v>
      </c>
      <c r="W49" s="562">
        <v>0</v>
      </c>
      <c r="X49" s="182">
        <v>0</v>
      </c>
      <c r="Y49" s="182">
        <v>0</v>
      </c>
      <c r="Z49" s="182">
        <v>0</v>
      </c>
      <c r="AA49" s="182">
        <v>0</v>
      </c>
      <c r="AB49" s="562">
        <v>0</v>
      </c>
      <c r="AC49" s="182">
        <v>0</v>
      </c>
      <c r="AD49" s="182">
        <v>0</v>
      </c>
      <c r="AE49" s="182">
        <v>0</v>
      </c>
      <c r="AF49" s="182">
        <f t="shared" si="59"/>
        <v>0</v>
      </c>
      <c r="AG49" s="562">
        <v>0</v>
      </c>
      <c r="AH49" s="182">
        <v>0</v>
      </c>
      <c r="AI49" s="182">
        <v>0</v>
      </c>
      <c r="AJ49" s="182">
        <v>0</v>
      </c>
      <c r="AK49" s="182">
        <f t="shared" si="60"/>
        <v>0</v>
      </c>
      <c r="AL49" s="562">
        <v>0</v>
      </c>
      <c r="AM49" s="182">
        <v>0</v>
      </c>
      <c r="AN49" s="182">
        <v>0</v>
      </c>
      <c r="AO49" s="182">
        <v>0</v>
      </c>
      <c r="AP49" s="182">
        <v>0</v>
      </c>
      <c r="AQ49" s="562">
        <f t="shared" si="61"/>
        <v>0</v>
      </c>
      <c r="AR49" s="182"/>
      <c r="AS49" s="182"/>
      <c r="AT49" s="182"/>
      <c r="AU49" s="182">
        <f t="shared" si="76"/>
        <v>0</v>
      </c>
      <c r="AV49" s="562">
        <f t="shared" si="62"/>
        <v>0</v>
      </c>
      <c r="AW49" s="182"/>
      <c r="AX49" s="182"/>
      <c r="AY49" s="182"/>
      <c r="AZ49" s="182"/>
      <c r="BA49" s="562">
        <f t="shared" si="63"/>
        <v>0</v>
      </c>
      <c r="BB49" s="182"/>
      <c r="BC49" s="182"/>
      <c r="BD49" s="182"/>
      <c r="BE49" s="182">
        <f t="shared" si="71"/>
        <v>0</v>
      </c>
      <c r="BF49" s="732">
        <f>0</f>
        <v>0</v>
      </c>
      <c r="BG49" s="733"/>
      <c r="BH49" s="733"/>
      <c r="BI49" s="733"/>
      <c r="BJ49" s="733">
        <f t="shared" si="77"/>
        <v>0</v>
      </c>
      <c r="BK49" s="732">
        <f>0</f>
        <v>0</v>
      </c>
      <c r="BL49" s="733">
        <f>0</f>
        <v>0</v>
      </c>
      <c r="BM49" s="733">
        <f>0</f>
        <v>0</v>
      </c>
      <c r="BN49" s="733">
        <f>0</f>
        <v>0</v>
      </c>
      <c r="BO49" s="733">
        <f>0</f>
        <v>0</v>
      </c>
      <c r="BP49" s="732">
        <f>0</f>
        <v>0</v>
      </c>
      <c r="BQ49" s="733">
        <f>0</f>
        <v>0</v>
      </c>
      <c r="BR49" s="733">
        <f>0</f>
        <v>0</v>
      </c>
      <c r="BS49" s="733">
        <f>0</f>
        <v>0</v>
      </c>
      <c r="BT49" s="733"/>
      <c r="BU49" s="732">
        <f t="shared" si="67"/>
        <v>0</v>
      </c>
      <c r="BV49" s="733">
        <f>0</f>
        <v>0</v>
      </c>
      <c r="BW49" s="733">
        <f>0</f>
        <v>0</v>
      </c>
      <c r="BX49" s="733">
        <f>0</f>
        <v>0</v>
      </c>
      <c r="BY49" s="733">
        <f>0</f>
        <v>0</v>
      </c>
      <c r="BZ49" s="732">
        <f t="shared" si="68"/>
        <v>0</v>
      </c>
      <c r="CA49" s="733">
        <f>0</f>
        <v>0</v>
      </c>
      <c r="CB49" s="733">
        <f>0</f>
        <v>0</v>
      </c>
      <c r="CC49" s="733">
        <f>0</f>
        <v>0</v>
      </c>
      <c r="CD49" s="733">
        <f>0</f>
        <v>0</v>
      </c>
      <c r="CE49" s="732">
        <f t="shared" si="69"/>
        <v>0</v>
      </c>
    </row>
    <row r="50" spans="2:83" ht="12.75" hidden="1" outlineLevel="1">
      <c r="B50" s="175" t="s">
        <v>99</v>
      </c>
      <c r="C50" s="166"/>
      <c r="D50" s="182"/>
      <c r="E50" s="182"/>
      <c r="F50" s="182"/>
      <c r="G50" s="182"/>
      <c r="H50" s="182">
        <v>0</v>
      </c>
      <c r="I50" s="182"/>
      <c r="J50" s="182"/>
      <c r="K50" s="182"/>
      <c r="L50" s="182"/>
      <c r="M50" s="182">
        <v>0</v>
      </c>
      <c r="N50" s="182">
        <v>0</v>
      </c>
      <c r="O50" s="182">
        <v>0</v>
      </c>
      <c r="P50" s="182">
        <v>0</v>
      </c>
      <c r="Q50" s="182">
        <v>0</v>
      </c>
      <c r="R50" s="182">
        <v>0</v>
      </c>
      <c r="S50" s="182">
        <v>0</v>
      </c>
      <c r="T50" s="182">
        <v>0</v>
      </c>
      <c r="U50" s="182">
        <v>0</v>
      </c>
      <c r="V50" s="182">
        <v>0</v>
      </c>
      <c r="W50" s="562">
        <v>0</v>
      </c>
      <c r="X50" s="182">
        <v>0</v>
      </c>
      <c r="Y50" s="182">
        <v>0</v>
      </c>
      <c r="Z50" s="182">
        <v>0</v>
      </c>
      <c r="AA50" s="182">
        <v>0</v>
      </c>
      <c r="AB50" s="562">
        <v>0</v>
      </c>
      <c r="AC50" s="182">
        <v>0</v>
      </c>
      <c r="AD50" s="182">
        <v>0</v>
      </c>
      <c r="AE50" s="182">
        <v>0</v>
      </c>
      <c r="AF50" s="182">
        <f t="shared" si="59"/>
        <v>0</v>
      </c>
      <c r="AG50" s="562">
        <v>0</v>
      </c>
      <c r="AH50" s="182">
        <v>0</v>
      </c>
      <c r="AI50" s="182">
        <v>0</v>
      </c>
      <c r="AJ50" s="182">
        <v>0</v>
      </c>
      <c r="AK50" s="182">
        <f t="shared" si="60"/>
        <v>0</v>
      </c>
      <c r="AL50" s="562">
        <v>0</v>
      </c>
      <c r="AM50" s="182">
        <v>0</v>
      </c>
      <c r="AN50" s="182">
        <v>0</v>
      </c>
      <c r="AO50" s="182">
        <v>0</v>
      </c>
      <c r="AP50" s="182">
        <v>0</v>
      </c>
      <c r="AQ50" s="562">
        <f t="shared" si="61"/>
        <v>0</v>
      </c>
      <c r="AR50" s="182"/>
      <c r="AS50" s="182"/>
      <c r="AT50" s="182"/>
      <c r="AU50" s="182">
        <f t="shared" si="76"/>
        <v>0</v>
      </c>
      <c r="AV50" s="562">
        <f t="shared" si="62"/>
        <v>0</v>
      </c>
      <c r="AW50" s="182"/>
      <c r="AX50" s="182"/>
      <c r="AY50" s="182"/>
      <c r="AZ50" s="182"/>
      <c r="BA50" s="562">
        <f t="shared" si="63"/>
        <v>0</v>
      </c>
      <c r="BB50" s="182"/>
      <c r="BC50" s="182"/>
      <c r="BD50" s="182"/>
      <c r="BE50" s="182">
        <f t="shared" si="71"/>
        <v>0</v>
      </c>
      <c r="BF50" s="732">
        <f>0</f>
        <v>0</v>
      </c>
      <c r="BG50" s="733"/>
      <c r="BH50" s="733"/>
      <c r="BI50" s="733"/>
      <c r="BJ50" s="733">
        <f t="shared" si="77"/>
        <v>0</v>
      </c>
      <c r="BK50" s="732">
        <f>0</f>
        <v>0</v>
      </c>
      <c r="BL50" s="733">
        <f>0</f>
        <v>0</v>
      </c>
      <c r="BM50" s="733">
        <f>0</f>
        <v>0</v>
      </c>
      <c r="BN50" s="733">
        <f>0</f>
        <v>0</v>
      </c>
      <c r="BO50" s="733">
        <f>0</f>
        <v>0</v>
      </c>
      <c r="BP50" s="732">
        <f>0</f>
        <v>0</v>
      </c>
      <c r="BQ50" s="733">
        <f>0</f>
        <v>0</v>
      </c>
      <c r="BR50" s="733">
        <f>0</f>
        <v>0</v>
      </c>
      <c r="BS50" s="733">
        <f>0</f>
        <v>0</v>
      </c>
      <c r="BT50" s="733"/>
      <c r="BU50" s="732">
        <f t="shared" si="67"/>
        <v>0</v>
      </c>
      <c r="BV50" s="733">
        <f>0</f>
        <v>0</v>
      </c>
      <c r="BW50" s="733">
        <f>0</f>
        <v>0</v>
      </c>
      <c r="BX50" s="733">
        <f>0</f>
        <v>0</v>
      </c>
      <c r="BY50" s="733">
        <f>0</f>
        <v>0</v>
      </c>
      <c r="BZ50" s="732">
        <f t="shared" si="68"/>
        <v>0</v>
      </c>
      <c r="CA50" s="733">
        <f>0</f>
        <v>0</v>
      </c>
      <c r="CB50" s="733">
        <f>0</f>
        <v>0</v>
      </c>
      <c r="CC50" s="733">
        <f>0</f>
        <v>0</v>
      </c>
      <c r="CD50" s="733">
        <f>0</f>
        <v>0</v>
      </c>
      <c r="CE50" s="732">
        <f t="shared" si="69"/>
        <v>0</v>
      </c>
    </row>
    <row r="51" spans="2:83" ht="12.75" collapsed="1">
      <c r="B51" s="175" t="s">
        <v>285</v>
      </c>
      <c r="C51" s="166"/>
      <c r="D51" s="182"/>
      <c r="E51" s="182"/>
      <c r="F51" s="182"/>
      <c r="G51" s="182"/>
      <c r="H51" s="182">
        <v>0</v>
      </c>
      <c r="I51" s="182"/>
      <c r="J51" s="182"/>
      <c r="K51" s="182"/>
      <c r="L51" s="182"/>
      <c r="M51" s="182">
        <v>0</v>
      </c>
      <c r="N51" s="182">
        <v>0</v>
      </c>
      <c r="O51" s="182">
        <v>0</v>
      </c>
      <c r="P51" s="182">
        <v>0</v>
      </c>
      <c r="Q51" s="182">
        <v>0</v>
      </c>
      <c r="R51" s="182">
        <v>0</v>
      </c>
      <c r="S51" s="182">
        <v>0</v>
      </c>
      <c r="T51" s="182">
        <v>0</v>
      </c>
      <c r="U51" s="182">
        <v>0</v>
      </c>
      <c r="V51" s="182">
        <v>0</v>
      </c>
      <c r="W51" s="562">
        <v>0</v>
      </c>
      <c r="X51" s="182">
        <v>0</v>
      </c>
      <c r="Y51" s="182">
        <v>0</v>
      </c>
      <c r="Z51" s="182">
        <v>0</v>
      </c>
      <c r="AA51" s="182">
        <v>0</v>
      </c>
      <c r="AB51" s="562">
        <v>0</v>
      </c>
      <c r="AC51" s="182">
        <v>0</v>
      </c>
      <c r="AD51" s="182">
        <v>0</v>
      </c>
      <c r="AE51" s="182">
        <v>0</v>
      </c>
      <c r="AF51" s="182">
        <f t="shared" ref="AF51" si="78">+AG51-SUM(AC51:AE51)</f>
        <v>0</v>
      </c>
      <c r="AG51" s="562">
        <v>0</v>
      </c>
      <c r="AH51" s="182">
        <v>-1481</v>
      </c>
      <c r="AI51" s="182">
        <f>+-19356-AH51</f>
        <v>-17875</v>
      </c>
      <c r="AJ51" s="182">
        <f>+-46542-AI51-AH51</f>
        <v>-27186</v>
      </c>
      <c r="AK51" s="182">
        <f t="shared" si="60"/>
        <v>-38498</v>
      </c>
      <c r="AL51" s="562">
        <v>-85040</v>
      </c>
      <c r="AM51" s="182">
        <v>-7871</v>
      </c>
      <c r="AN51" s="182">
        <v>-16246</v>
      </c>
      <c r="AO51" s="182">
        <v>-49760</v>
      </c>
      <c r="AP51" s="182">
        <v>-12547</v>
      </c>
      <c r="AQ51" s="562">
        <f t="shared" ref="AQ51" si="79">+SUM(AM51:AP51)</f>
        <v>-86424</v>
      </c>
      <c r="AR51" s="182">
        <v>-28926</v>
      </c>
      <c r="AS51" s="182">
        <v>-25255</v>
      </c>
      <c r="AT51" s="182">
        <v>-37700</v>
      </c>
      <c r="AU51" s="182">
        <f>-126729-AR51-AS51-AT51</f>
        <v>-34848</v>
      </c>
      <c r="AV51" s="562">
        <f t="shared" ref="AV51" si="80">+SUM(AR51:AU51)</f>
        <v>-126729</v>
      </c>
      <c r="AW51" s="182">
        <f>-31029</f>
        <v>-31029</v>
      </c>
      <c r="AX51" s="182">
        <f>-63252-AW51</f>
        <v>-32223</v>
      </c>
      <c r="AY51" s="182">
        <f>-94919-AW51-AX51</f>
        <v>-31667</v>
      </c>
      <c r="AZ51" s="182">
        <f t="shared" si="70"/>
        <v>-35058</v>
      </c>
      <c r="BA51" s="562">
        <f>-129977</f>
        <v>-129977</v>
      </c>
      <c r="BB51" s="182">
        <f>-46581+2086</f>
        <v>-44495</v>
      </c>
      <c r="BC51" s="182">
        <f>-117813+2086-BB51</f>
        <v>-71232</v>
      </c>
      <c r="BD51" s="182">
        <f>-212839-BC51-BB51</f>
        <v>-97112</v>
      </c>
      <c r="BE51" s="182">
        <f t="shared" si="71"/>
        <v>-100060</v>
      </c>
      <c r="BF51" s="732">
        <f>-317344+4445</f>
        <v>-312899</v>
      </c>
      <c r="BG51" s="733">
        <f>-66551+2988</f>
        <v>-63563</v>
      </c>
      <c r="BH51" s="733">
        <f>-108817+2988-BG51</f>
        <v>-42266</v>
      </c>
      <c r="BI51" s="733">
        <f>-147725+6077-BH51-BG51</f>
        <v>-35819</v>
      </c>
      <c r="BJ51" s="733">
        <f t="shared" si="75"/>
        <v>-23075</v>
      </c>
      <c r="BK51" s="732">
        <f>-170800+6077</f>
        <v>-164723</v>
      </c>
      <c r="BL51" s="733">
        <f>-18029+3608</f>
        <v>-14421</v>
      </c>
      <c r="BM51" s="733">
        <f>-53017+3608-BL51</f>
        <v>-34988</v>
      </c>
      <c r="BN51" s="733">
        <f>-97188+6872-BM51-BL51</f>
        <v>-40907</v>
      </c>
      <c r="BO51" s="733">
        <f t="shared" ref="BO51" si="81">BP51-BN51-BM51-BL51</f>
        <v>-42687</v>
      </c>
      <c r="BP51" s="732">
        <f>-139875+6872</f>
        <v>-133003</v>
      </c>
      <c r="BQ51" s="733">
        <f>-39653+3817</f>
        <v>-35836</v>
      </c>
      <c r="BR51" s="733">
        <f>-89545+3817-BQ51</f>
        <v>-49892</v>
      </c>
      <c r="BS51" s="733">
        <f>-138754+6751-SUM(BQ51:BR51)</f>
        <v>-46275</v>
      </c>
      <c r="BT51" s="733">
        <f>-183425+6751-BS51-BR51-BQ51</f>
        <v>-44671</v>
      </c>
      <c r="BU51" s="732">
        <f t="shared" ref="BU51" si="82">+SUM(BQ51:BT51)</f>
        <v>-176674</v>
      </c>
      <c r="BV51" s="733">
        <v>0</v>
      </c>
      <c r="BW51" s="733">
        <v>0</v>
      </c>
      <c r="BX51" s="733">
        <v>0</v>
      </c>
      <c r="BY51" s="733">
        <v>0</v>
      </c>
      <c r="BZ51" s="732">
        <f t="shared" ref="BZ51" si="83">+SUM(BV51:BY51)</f>
        <v>0</v>
      </c>
      <c r="CA51" s="733">
        <v>0</v>
      </c>
      <c r="CB51" s="733">
        <v>0</v>
      </c>
      <c r="CC51" s="733">
        <v>0</v>
      </c>
      <c r="CD51" s="733">
        <v>0</v>
      </c>
      <c r="CE51" s="732">
        <f t="shared" ref="CE51" si="84">+SUM(CA51:CD51)</f>
        <v>0</v>
      </c>
    </row>
    <row r="52" spans="2:83" ht="12.75" hidden="1" outlineLevel="1">
      <c r="B52" s="175" t="s">
        <v>105</v>
      </c>
      <c r="C52" s="166"/>
      <c r="D52" s="182"/>
      <c r="E52" s="182"/>
      <c r="F52" s="182"/>
      <c r="G52" s="182"/>
      <c r="H52" s="182">
        <v>0</v>
      </c>
      <c r="I52" s="182"/>
      <c r="J52" s="182"/>
      <c r="K52" s="182"/>
      <c r="L52" s="182"/>
      <c r="M52" s="182">
        <v>0</v>
      </c>
      <c r="N52" s="182">
        <v>0</v>
      </c>
      <c r="O52" s="182">
        <v>0</v>
      </c>
      <c r="P52" s="182">
        <v>0</v>
      </c>
      <c r="Q52" s="182">
        <v>0</v>
      </c>
      <c r="R52" s="182">
        <v>0</v>
      </c>
      <c r="S52" s="182">
        <v>0</v>
      </c>
      <c r="T52" s="182">
        <v>0</v>
      </c>
      <c r="U52" s="182">
        <v>0</v>
      </c>
      <c r="V52" s="182">
        <v>0</v>
      </c>
      <c r="W52" s="562">
        <v>0</v>
      </c>
      <c r="X52" s="182">
        <v>0</v>
      </c>
      <c r="Y52" s="182">
        <v>0</v>
      </c>
      <c r="Z52" s="182">
        <v>0</v>
      </c>
      <c r="AA52" s="182">
        <v>0</v>
      </c>
      <c r="AB52" s="562">
        <v>0</v>
      </c>
      <c r="AC52" s="182">
        <v>0</v>
      </c>
      <c r="AD52" s="182">
        <v>0</v>
      </c>
      <c r="AE52" s="182">
        <v>0</v>
      </c>
      <c r="AF52" s="182">
        <f t="shared" si="59"/>
        <v>0</v>
      </c>
      <c r="AG52" s="562">
        <v>0</v>
      </c>
      <c r="AH52" s="182">
        <v>0</v>
      </c>
      <c r="AI52" s="182">
        <v>0</v>
      </c>
      <c r="AJ52" s="182">
        <v>0</v>
      </c>
      <c r="AK52" s="182">
        <f t="shared" si="60"/>
        <v>0</v>
      </c>
      <c r="AL52" s="562">
        <v>0</v>
      </c>
      <c r="AM52" s="182">
        <v>0</v>
      </c>
      <c r="AN52" s="182">
        <v>0</v>
      </c>
      <c r="AO52" s="182">
        <v>0</v>
      </c>
      <c r="AP52" s="182">
        <v>0</v>
      </c>
      <c r="AQ52" s="562">
        <f t="shared" si="61"/>
        <v>0</v>
      </c>
      <c r="AR52" s="182"/>
      <c r="AS52" s="182"/>
      <c r="AT52" s="182"/>
      <c r="AU52" s="182"/>
      <c r="AV52" s="562">
        <f t="shared" ref="AV52" si="85">+SUM(AR52:AU52)</f>
        <v>0</v>
      </c>
      <c r="AW52" s="182"/>
      <c r="AX52" s="182"/>
      <c r="AY52" s="182"/>
      <c r="AZ52" s="182"/>
      <c r="BA52" s="562">
        <f t="shared" ref="BA52" si="86">+SUM(AW52:AZ52)</f>
        <v>0</v>
      </c>
      <c r="BB52" s="182"/>
      <c r="BC52" s="182"/>
      <c r="BD52" s="182"/>
      <c r="BE52" s="182"/>
      <c r="BF52" s="732">
        <f t="shared" ref="BF52" si="87">+SUM(BB52:BE52)</f>
        <v>0</v>
      </c>
      <c r="BG52" s="733"/>
      <c r="BH52" s="733"/>
      <c r="BI52" s="733"/>
      <c r="BJ52" s="733"/>
      <c r="BK52" s="732">
        <f t="shared" ref="BK52" si="88">+SUM(BG52:BJ52)</f>
        <v>0</v>
      </c>
      <c r="BL52" s="733"/>
      <c r="BM52" s="733"/>
      <c r="BN52" s="733"/>
      <c r="BO52" s="733"/>
      <c r="BP52" s="732">
        <f t="shared" ref="BP52" si="89">+SUM(BL52:BO52)</f>
        <v>0</v>
      </c>
      <c r="BQ52" s="733"/>
      <c r="BR52" s="733"/>
      <c r="BS52" s="733"/>
      <c r="BT52" s="733"/>
      <c r="BU52" s="732">
        <f t="shared" ref="BU52" si="90">+SUM(BQ52:BT52)</f>
        <v>0</v>
      </c>
      <c r="BV52" s="733"/>
      <c r="BW52" s="733"/>
      <c r="BX52" s="733"/>
      <c r="BY52" s="733"/>
      <c r="BZ52" s="732">
        <f t="shared" ref="BZ52" si="91">+SUM(BV52:BY52)</f>
        <v>0</v>
      </c>
      <c r="CA52" s="733"/>
      <c r="CB52" s="733"/>
      <c r="CC52" s="733"/>
      <c r="CD52" s="733"/>
      <c r="CE52" s="732">
        <f t="shared" ref="CE52" si="92">+SUM(CA52:CD52)</f>
        <v>0</v>
      </c>
    </row>
    <row r="53" spans="2:83" ht="6" customHeight="1" collapsed="1">
      <c r="B53" s="291"/>
      <c r="C53" s="294"/>
      <c r="D53" s="188" t="s">
        <v>0</v>
      </c>
      <c r="E53" s="188" t="s">
        <v>0</v>
      </c>
      <c r="F53" s="188" t="s">
        <v>0</v>
      </c>
      <c r="G53" s="188" t="s">
        <v>0</v>
      </c>
      <c r="H53" s="188" t="s">
        <v>0</v>
      </c>
      <c r="I53" s="188" t="s">
        <v>0</v>
      </c>
      <c r="J53" s="188" t="s">
        <v>0</v>
      </c>
      <c r="K53" s="188" t="s">
        <v>0</v>
      </c>
      <c r="L53" s="188" t="s">
        <v>0</v>
      </c>
      <c r="M53" s="188" t="s">
        <v>0</v>
      </c>
      <c r="N53" s="188" t="s">
        <v>0</v>
      </c>
      <c r="O53" s="188" t="s">
        <v>0</v>
      </c>
      <c r="P53" s="188" t="s">
        <v>0</v>
      </c>
      <c r="Q53" s="188" t="s">
        <v>0</v>
      </c>
      <c r="R53" s="188" t="s">
        <v>0</v>
      </c>
      <c r="S53" s="188" t="s">
        <v>0</v>
      </c>
      <c r="T53" s="188" t="s">
        <v>0</v>
      </c>
      <c r="U53" s="188" t="s">
        <v>0</v>
      </c>
      <c r="V53" s="188" t="s">
        <v>0</v>
      </c>
      <c r="W53" s="596" t="s">
        <v>0</v>
      </c>
      <c r="X53" s="188" t="s">
        <v>0</v>
      </c>
      <c r="Y53" s="188" t="s">
        <v>0</v>
      </c>
      <c r="Z53" s="188" t="s">
        <v>0</v>
      </c>
      <c r="AA53" s="188" t="s">
        <v>0</v>
      </c>
      <c r="AB53" s="596" t="s">
        <v>0</v>
      </c>
      <c r="AC53" s="188" t="s">
        <v>0</v>
      </c>
      <c r="AD53" s="188" t="s">
        <v>0</v>
      </c>
      <c r="AE53" s="188" t="s">
        <v>0</v>
      </c>
      <c r="AF53" s="188" t="s">
        <v>0</v>
      </c>
      <c r="AG53" s="596" t="s">
        <v>0</v>
      </c>
      <c r="AH53" s="188" t="s">
        <v>0</v>
      </c>
      <c r="AI53" s="188" t="s">
        <v>0</v>
      </c>
      <c r="AJ53" s="188" t="s">
        <v>0</v>
      </c>
      <c r="AK53" s="188" t="s">
        <v>0</v>
      </c>
      <c r="AL53" s="596" t="s">
        <v>0</v>
      </c>
      <c r="AM53" s="188" t="s">
        <v>0</v>
      </c>
      <c r="AN53" s="188" t="s">
        <v>0</v>
      </c>
      <c r="AO53" s="188" t="s">
        <v>0</v>
      </c>
      <c r="AP53" s="188" t="s">
        <v>0</v>
      </c>
      <c r="AQ53" s="596" t="s">
        <v>0</v>
      </c>
      <c r="AR53" s="188" t="s">
        <v>0</v>
      </c>
      <c r="AS53" s="188" t="s">
        <v>0</v>
      </c>
      <c r="AT53" s="188" t="s">
        <v>0</v>
      </c>
      <c r="AU53" s="188" t="s">
        <v>0</v>
      </c>
      <c r="AV53" s="596" t="s">
        <v>0</v>
      </c>
      <c r="AW53" s="188" t="s">
        <v>0</v>
      </c>
      <c r="AX53" s="188" t="s">
        <v>0</v>
      </c>
      <c r="AY53" s="188" t="s">
        <v>0</v>
      </c>
      <c r="AZ53" s="188" t="s">
        <v>0</v>
      </c>
      <c r="BA53" s="596" t="s">
        <v>0</v>
      </c>
      <c r="BB53" s="188" t="s">
        <v>0</v>
      </c>
      <c r="BC53" s="188" t="s">
        <v>0</v>
      </c>
      <c r="BD53" s="188" t="s">
        <v>0</v>
      </c>
      <c r="BE53" s="188" t="s">
        <v>0</v>
      </c>
      <c r="BF53" s="734" t="s">
        <v>0</v>
      </c>
      <c r="BG53" s="735" t="s">
        <v>0</v>
      </c>
      <c r="BH53" s="735" t="s">
        <v>0</v>
      </c>
      <c r="BI53" s="735" t="s">
        <v>0</v>
      </c>
      <c r="BJ53" s="735" t="s">
        <v>0</v>
      </c>
      <c r="BK53" s="734" t="s">
        <v>0</v>
      </c>
      <c r="BL53" s="735" t="s">
        <v>0</v>
      </c>
      <c r="BM53" s="735" t="s">
        <v>0</v>
      </c>
      <c r="BN53" s="735" t="s">
        <v>0</v>
      </c>
      <c r="BO53" s="735" t="s">
        <v>0</v>
      </c>
      <c r="BP53" s="734" t="s">
        <v>0</v>
      </c>
      <c r="BQ53" s="735" t="s">
        <v>0</v>
      </c>
      <c r="BR53" s="735" t="s">
        <v>0</v>
      </c>
      <c r="BS53" s="735" t="s">
        <v>0</v>
      </c>
      <c r="BT53" s="735" t="s">
        <v>0</v>
      </c>
      <c r="BU53" s="734" t="s">
        <v>0</v>
      </c>
      <c r="BV53" s="735" t="s">
        <v>0</v>
      </c>
      <c r="BW53" s="735" t="s">
        <v>0</v>
      </c>
      <c r="BX53" s="735" t="s">
        <v>0</v>
      </c>
      <c r="BY53" s="735" t="s">
        <v>0</v>
      </c>
      <c r="BZ53" s="734" t="s">
        <v>0</v>
      </c>
      <c r="CA53" s="735" t="s">
        <v>0</v>
      </c>
      <c r="CB53" s="735" t="s">
        <v>0</v>
      </c>
      <c r="CC53" s="735" t="s">
        <v>0</v>
      </c>
      <c r="CD53" s="735" t="s">
        <v>0</v>
      </c>
      <c r="CE53" s="734" t="s">
        <v>0</v>
      </c>
    </row>
    <row r="54" spans="2:83" ht="13.15">
      <c r="B54" s="295" t="s">
        <v>386</v>
      </c>
      <c r="C54" s="296"/>
      <c r="D54" s="179">
        <f t="shared" ref="D54:AY54" si="93">SUM(D41:D52)</f>
        <v>0</v>
      </c>
      <c r="E54" s="179">
        <f t="shared" si="93"/>
        <v>0</v>
      </c>
      <c r="F54" s="179">
        <f t="shared" si="93"/>
        <v>0</v>
      </c>
      <c r="G54" s="179">
        <f t="shared" si="93"/>
        <v>0</v>
      </c>
      <c r="H54" s="179">
        <f t="shared" si="93"/>
        <v>83202</v>
      </c>
      <c r="I54" s="179">
        <f t="shared" si="93"/>
        <v>0</v>
      </c>
      <c r="J54" s="179">
        <f t="shared" si="93"/>
        <v>0</v>
      </c>
      <c r="K54" s="179">
        <f t="shared" si="93"/>
        <v>0</v>
      </c>
      <c r="L54" s="179">
        <f t="shared" si="93"/>
        <v>0</v>
      </c>
      <c r="M54" s="179">
        <f t="shared" si="93"/>
        <v>3077</v>
      </c>
      <c r="N54" s="179">
        <f t="shared" si="93"/>
        <v>1006</v>
      </c>
      <c r="O54" s="179">
        <f t="shared" si="93"/>
        <v>1594</v>
      </c>
      <c r="P54" s="179">
        <f t="shared" si="93"/>
        <v>1772</v>
      </c>
      <c r="Q54" s="179">
        <f t="shared" si="93"/>
        <v>2721</v>
      </c>
      <c r="R54" s="179">
        <f t="shared" si="93"/>
        <v>7093</v>
      </c>
      <c r="S54" s="179">
        <f t="shared" si="93"/>
        <v>3539</v>
      </c>
      <c r="T54" s="179">
        <f t="shared" si="93"/>
        <v>2199</v>
      </c>
      <c r="U54" s="179">
        <f t="shared" si="93"/>
        <v>1171</v>
      </c>
      <c r="V54" s="179">
        <f t="shared" si="93"/>
        <v>3673</v>
      </c>
      <c r="W54" s="555">
        <f t="shared" si="93"/>
        <v>10582</v>
      </c>
      <c r="X54" s="179">
        <f t="shared" si="93"/>
        <v>5208</v>
      </c>
      <c r="Y54" s="179">
        <f t="shared" si="93"/>
        <v>8001</v>
      </c>
      <c r="Z54" s="179">
        <f t="shared" si="93"/>
        <v>3950</v>
      </c>
      <c r="AA54" s="179">
        <f t="shared" si="93"/>
        <v>6260</v>
      </c>
      <c r="AB54" s="555">
        <f t="shared" si="93"/>
        <v>23419</v>
      </c>
      <c r="AC54" s="179">
        <f t="shared" si="93"/>
        <v>-8505</v>
      </c>
      <c r="AD54" s="179">
        <f t="shared" si="93"/>
        <v>7954</v>
      </c>
      <c r="AE54" s="179">
        <f t="shared" si="93"/>
        <v>5758</v>
      </c>
      <c r="AF54" s="179">
        <f t="shared" si="93"/>
        <v>5196</v>
      </c>
      <c r="AG54" s="555">
        <f t="shared" si="93"/>
        <v>10403</v>
      </c>
      <c r="AH54" s="179">
        <f t="shared" si="93"/>
        <v>1675</v>
      </c>
      <c r="AI54" s="179">
        <f t="shared" si="93"/>
        <v>-18586</v>
      </c>
      <c r="AJ54" s="179">
        <f t="shared" si="93"/>
        <v>-21948</v>
      </c>
      <c r="AK54" s="179">
        <f t="shared" si="93"/>
        <v>-38624</v>
      </c>
      <c r="AL54" s="555">
        <f t="shared" si="93"/>
        <v>-77483</v>
      </c>
      <c r="AM54" s="179">
        <f t="shared" si="93"/>
        <v>-7610</v>
      </c>
      <c r="AN54" s="179">
        <f t="shared" si="93"/>
        <v>-15763</v>
      </c>
      <c r="AO54" s="179">
        <f t="shared" si="93"/>
        <v>-51627</v>
      </c>
      <c r="AP54" s="179">
        <f t="shared" si="93"/>
        <v>-4045</v>
      </c>
      <c r="AQ54" s="555">
        <f t="shared" si="93"/>
        <v>-79045</v>
      </c>
      <c r="AR54" s="179">
        <f t="shared" si="93"/>
        <v>-29242</v>
      </c>
      <c r="AS54" s="179">
        <f t="shared" si="93"/>
        <v>-15685</v>
      </c>
      <c r="AT54" s="179">
        <f t="shared" si="93"/>
        <v>-39422</v>
      </c>
      <c r="AU54" s="179">
        <f t="shared" si="93"/>
        <v>-28232</v>
      </c>
      <c r="AV54" s="555">
        <f t="shared" si="93"/>
        <v>-112581</v>
      </c>
      <c r="AW54" s="179">
        <f t="shared" si="93"/>
        <v>-46408</v>
      </c>
      <c r="AX54" s="179">
        <f t="shared" si="93"/>
        <v>-33513</v>
      </c>
      <c r="AY54" s="179">
        <f t="shared" si="93"/>
        <v>-28334</v>
      </c>
      <c r="AZ54" s="179">
        <v>367</v>
      </c>
      <c r="BA54" s="555">
        <f>SUM(AW54:AZ54)</f>
        <v>-107888</v>
      </c>
      <c r="BB54" s="179">
        <f t="shared" ref="BB54:BZ54" si="94">SUM(BB41:BB52)</f>
        <v>-45557</v>
      </c>
      <c r="BC54" s="179">
        <f t="shared" si="94"/>
        <v>-69258</v>
      </c>
      <c r="BD54" s="179">
        <f t="shared" si="94"/>
        <v>-83271</v>
      </c>
      <c r="BE54" s="179">
        <f t="shared" si="94"/>
        <v>-107945</v>
      </c>
      <c r="BF54" s="736">
        <f t="shared" si="94"/>
        <v>-306031</v>
      </c>
      <c r="BG54" s="737">
        <f t="shared" si="94"/>
        <v>-66340</v>
      </c>
      <c r="BH54" s="737">
        <f t="shared" si="94"/>
        <v>-41835</v>
      </c>
      <c r="BI54" s="737">
        <f t="shared" si="94"/>
        <v>-20087</v>
      </c>
      <c r="BJ54" s="737">
        <f t="shared" si="94"/>
        <v>-13231</v>
      </c>
      <c r="BK54" s="736">
        <f t="shared" si="94"/>
        <v>-141493</v>
      </c>
      <c r="BL54" s="737">
        <f t="shared" si="94"/>
        <v>-24959</v>
      </c>
      <c r="BM54" s="737">
        <f t="shared" si="94"/>
        <v>-37691</v>
      </c>
      <c r="BN54" s="737">
        <f t="shared" si="94"/>
        <v>-43948</v>
      </c>
      <c r="BO54" s="737">
        <f t="shared" si="94"/>
        <v>-39052</v>
      </c>
      <c r="BP54" s="736">
        <f t="shared" si="94"/>
        <v>-145650</v>
      </c>
      <c r="BQ54" s="737">
        <f t="shared" si="94"/>
        <v>-44068</v>
      </c>
      <c r="BR54" s="737">
        <f t="shared" si="94"/>
        <v>-51350</v>
      </c>
      <c r="BS54" s="737">
        <f t="shared" si="94"/>
        <v>-47929</v>
      </c>
      <c r="BT54" s="737">
        <f t="shared" si="94"/>
        <v>-42053</v>
      </c>
      <c r="BU54" s="736">
        <f t="shared" si="94"/>
        <v>-185400</v>
      </c>
      <c r="BV54" s="737">
        <f t="shared" si="94"/>
        <v>0</v>
      </c>
      <c r="BW54" s="737">
        <f t="shared" si="94"/>
        <v>0</v>
      </c>
      <c r="BX54" s="737">
        <f t="shared" si="94"/>
        <v>0</v>
      </c>
      <c r="BY54" s="737">
        <f t="shared" si="94"/>
        <v>0</v>
      </c>
      <c r="BZ54" s="736">
        <f t="shared" si="94"/>
        <v>0</v>
      </c>
      <c r="CA54" s="737">
        <f t="shared" ref="CA54:CE54" si="95">SUM(CA41:CA52)</f>
        <v>0</v>
      </c>
      <c r="CB54" s="737">
        <f t="shared" si="95"/>
        <v>0</v>
      </c>
      <c r="CC54" s="737">
        <f t="shared" si="95"/>
        <v>0</v>
      </c>
      <c r="CD54" s="737">
        <f t="shared" si="95"/>
        <v>0</v>
      </c>
      <c r="CE54" s="736">
        <f t="shared" si="95"/>
        <v>0</v>
      </c>
    </row>
    <row r="55" spans="2:83" ht="12.75">
      <c r="B55" s="291"/>
      <c r="C55" s="166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562"/>
      <c r="X55" s="182"/>
      <c r="Y55" s="182"/>
      <c r="Z55" s="182"/>
      <c r="AA55" s="182"/>
      <c r="AB55" s="562"/>
      <c r="AC55" s="182"/>
      <c r="AD55" s="182"/>
      <c r="AE55" s="182"/>
      <c r="AF55" s="182"/>
      <c r="AG55" s="562"/>
      <c r="AH55" s="182"/>
      <c r="AI55" s="182"/>
      <c r="AJ55" s="182"/>
      <c r="AK55" s="182"/>
      <c r="AL55" s="562"/>
      <c r="AM55" s="182"/>
      <c r="AN55" s="182"/>
      <c r="AO55" s="182"/>
      <c r="AP55" s="182"/>
      <c r="AQ55" s="562"/>
      <c r="AR55" s="182"/>
      <c r="AS55" s="182"/>
      <c r="AT55" s="182"/>
      <c r="AU55" s="182"/>
      <c r="AV55" s="562"/>
      <c r="AW55" s="182"/>
      <c r="AX55" s="182"/>
      <c r="AY55" s="182"/>
      <c r="AZ55" s="182"/>
      <c r="BA55" s="562"/>
      <c r="BB55" s="182"/>
      <c r="BC55" s="182"/>
      <c r="BD55" s="182"/>
      <c r="BE55" s="182"/>
      <c r="BF55" s="732"/>
      <c r="BG55" s="733"/>
      <c r="BH55" s="733"/>
      <c r="BI55" s="733"/>
      <c r="BJ55" s="733"/>
      <c r="BK55" s="732"/>
      <c r="BL55" s="733"/>
      <c r="BM55" s="733"/>
      <c r="BN55" s="733"/>
      <c r="BO55" s="733"/>
      <c r="BP55" s="732"/>
      <c r="BQ55" s="733"/>
      <c r="BR55" s="733"/>
      <c r="BS55" s="733"/>
      <c r="BT55" s="733"/>
      <c r="BU55" s="732"/>
      <c r="BV55" s="733"/>
      <c r="BW55" s="733"/>
      <c r="BX55" s="733"/>
      <c r="BY55" s="733"/>
      <c r="BZ55" s="732"/>
      <c r="CA55" s="733"/>
      <c r="CB55" s="733"/>
      <c r="CC55" s="733"/>
      <c r="CD55" s="733"/>
      <c r="CE55" s="732"/>
    </row>
    <row r="56" spans="2:83" ht="12.75" hidden="1" outlineLevel="1">
      <c r="B56" s="293" t="s">
        <v>330</v>
      </c>
      <c r="C56" s="166"/>
      <c r="D56" s="182"/>
      <c r="E56" s="182"/>
      <c r="F56" s="182"/>
      <c r="G56" s="182"/>
      <c r="H56" s="182">
        <v>-33</v>
      </c>
      <c r="I56" s="182"/>
      <c r="J56" s="182"/>
      <c r="K56" s="182"/>
      <c r="L56" s="182"/>
      <c r="M56" s="182">
        <v>-51</v>
      </c>
      <c r="N56" s="182">
        <v>13</v>
      </c>
      <c r="O56" s="182">
        <v>-43</v>
      </c>
      <c r="P56" s="182">
        <v>-198</v>
      </c>
      <c r="Q56" s="182">
        <v>180</v>
      </c>
      <c r="R56" s="182">
        <v>-48</v>
      </c>
      <c r="S56" s="182">
        <v>0</v>
      </c>
      <c r="T56" s="182">
        <v>0</v>
      </c>
      <c r="U56" s="182">
        <v>0</v>
      </c>
      <c r="V56" s="182">
        <v>0</v>
      </c>
      <c r="W56" s="562">
        <v>0</v>
      </c>
      <c r="X56" s="182">
        <v>0</v>
      </c>
      <c r="Y56" s="182">
        <v>0</v>
      </c>
      <c r="Z56" s="182">
        <v>0</v>
      </c>
      <c r="AA56" s="182">
        <v>0</v>
      </c>
      <c r="AB56" s="562">
        <v>0</v>
      </c>
      <c r="AC56" s="182">
        <v>0</v>
      </c>
      <c r="AD56" s="182">
        <f>0-AC56</f>
        <v>0</v>
      </c>
      <c r="AE56" s="182">
        <f t="shared" ref="AE56" si="96">0-AD56-AC56</f>
        <v>0</v>
      </c>
      <c r="AF56" s="182">
        <f t="shared" ref="AF56" si="97">+AG56-SUM(AC56:AE56)</f>
        <v>0</v>
      </c>
      <c r="AG56" s="562">
        <v>0</v>
      </c>
      <c r="AH56" s="182">
        <v>0</v>
      </c>
      <c r="AI56" s="182">
        <f>+-42-AH56</f>
        <v>-42</v>
      </c>
      <c r="AJ56" s="182">
        <f>+-42-AI56-AH56</f>
        <v>0</v>
      </c>
      <c r="AK56" s="182">
        <f>+AL56-SUM(AH56:AJ56)</f>
        <v>42</v>
      </c>
      <c r="AL56" s="562">
        <v>0</v>
      </c>
      <c r="AM56" s="182">
        <v>0</v>
      </c>
      <c r="AN56" s="182">
        <v>0</v>
      </c>
      <c r="AO56" s="182">
        <v>0</v>
      </c>
      <c r="AP56" s="182">
        <v>0</v>
      </c>
      <c r="AQ56" s="562">
        <f t="shared" ref="AQ56" si="98">+SUM(AM56:AP56)</f>
        <v>0</v>
      </c>
      <c r="AR56" s="182">
        <v>0</v>
      </c>
      <c r="AS56" s="182"/>
      <c r="AT56" s="182"/>
      <c r="AU56" s="182"/>
      <c r="AV56" s="562">
        <f t="shared" ref="AV56" si="99">+SUM(AR56:AU56)</f>
        <v>0</v>
      </c>
      <c r="AW56" s="182">
        <v>0</v>
      </c>
      <c r="AX56" s="182"/>
      <c r="AY56" s="182"/>
      <c r="AZ56" s="182"/>
      <c r="BA56" s="562">
        <f t="shared" ref="BA56" si="100">+SUM(AW56:AZ56)</f>
        <v>0</v>
      </c>
      <c r="BB56" s="182">
        <v>0</v>
      </c>
      <c r="BC56" s="182"/>
      <c r="BD56" s="182"/>
      <c r="BE56" s="182"/>
      <c r="BF56" s="732">
        <f t="shared" ref="BF56" si="101">+SUM(BB56:BE56)</f>
        <v>0</v>
      </c>
      <c r="BG56" s="733">
        <v>0</v>
      </c>
      <c r="BH56" s="733"/>
      <c r="BI56" s="733"/>
      <c r="BJ56" s="733"/>
      <c r="BK56" s="732">
        <f t="shared" ref="BK56" si="102">+SUM(BG56:BJ56)</f>
        <v>0</v>
      </c>
      <c r="BL56" s="733">
        <v>0</v>
      </c>
      <c r="BM56" s="733"/>
      <c r="BN56" s="733"/>
      <c r="BO56" s="733"/>
      <c r="BP56" s="732">
        <f t="shared" ref="BP56" si="103">+SUM(BL56:BO56)</f>
        <v>0</v>
      </c>
      <c r="BQ56" s="733">
        <v>0</v>
      </c>
      <c r="BR56" s="733"/>
      <c r="BS56" s="733"/>
      <c r="BT56" s="733"/>
      <c r="BU56" s="732">
        <f t="shared" ref="BU56" si="104">+SUM(BQ56:BT56)</f>
        <v>0</v>
      </c>
      <c r="BV56" s="733">
        <v>0</v>
      </c>
      <c r="BW56" s="733"/>
      <c r="BX56" s="733"/>
      <c r="BY56" s="733"/>
      <c r="BZ56" s="732">
        <f t="shared" ref="BZ56" si="105">+SUM(BV56:BY56)</f>
        <v>0</v>
      </c>
      <c r="CA56" s="733">
        <v>0</v>
      </c>
      <c r="CB56" s="733"/>
      <c r="CC56" s="733"/>
      <c r="CD56" s="733"/>
      <c r="CE56" s="732">
        <f t="shared" ref="CE56" si="106">+SUM(CA56:CD56)</f>
        <v>0</v>
      </c>
    </row>
    <row r="57" spans="2:83" ht="6.75" hidden="1" customHeight="1" outlineLevel="1">
      <c r="B57" s="291"/>
      <c r="C57" s="294"/>
      <c r="D57" s="188" t="s">
        <v>0</v>
      </c>
      <c r="E57" s="188" t="s">
        <v>0</v>
      </c>
      <c r="F57" s="188" t="s">
        <v>0</v>
      </c>
      <c r="G57" s="188" t="s">
        <v>0</v>
      </c>
      <c r="H57" s="188" t="s">
        <v>0</v>
      </c>
      <c r="I57" s="188" t="s">
        <v>0</v>
      </c>
      <c r="J57" s="188" t="s">
        <v>0</v>
      </c>
      <c r="K57" s="188" t="s">
        <v>0</v>
      </c>
      <c r="L57" s="188" t="s">
        <v>0</v>
      </c>
      <c r="M57" s="188" t="s">
        <v>0</v>
      </c>
      <c r="N57" s="188" t="s">
        <v>0</v>
      </c>
      <c r="O57" s="188" t="s">
        <v>0</v>
      </c>
      <c r="P57" s="188" t="s">
        <v>0</v>
      </c>
      <c r="Q57" s="188" t="s">
        <v>0</v>
      </c>
      <c r="R57" s="188" t="s">
        <v>0</v>
      </c>
      <c r="S57" s="188" t="s">
        <v>0</v>
      </c>
      <c r="T57" s="188" t="s">
        <v>0</v>
      </c>
      <c r="U57" s="188" t="s">
        <v>0</v>
      </c>
      <c r="V57" s="188" t="s">
        <v>0</v>
      </c>
      <c r="W57" s="596" t="s">
        <v>0</v>
      </c>
      <c r="X57" s="188" t="s">
        <v>0</v>
      </c>
      <c r="Y57" s="188" t="s">
        <v>0</v>
      </c>
      <c r="Z57" s="188" t="s">
        <v>0</v>
      </c>
      <c r="AA57" s="188" t="s">
        <v>0</v>
      </c>
      <c r="AB57" s="596" t="s">
        <v>0</v>
      </c>
      <c r="AC57" s="188" t="s">
        <v>0</v>
      </c>
      <c r="AD57" s="188" t="s">
        <v>0</v>
      </c>
      <c r="AE57" s="188" t="s">
        <v>0</v>
      </c>
      <c r="AF57" s="188" t="s">
        <v>0</v>
      </c>
      <c r="AG57" s="596" t="s">
        <v>0</v>
      </c>
      <c r="AH57" s="188" t="s">
        <v>0</v>
      </c>
      <c r="AI57" s="188" t="s">
        <v>0</v>
      </c>
      <c r="AJ57" s="188" t="s">
        <v>0</v>
      </c>
      <c r="AK57" s="188" t="s">
        <v>0</v>
      </c>
      <c r="AL57" s="596" t="s">
        <v>0</v>
      </c>
      <c r="AM57" s="188" t="s">
        <v>0</v>
      </c>
      <c r="AN57" s="188" t="s">
        <v>0</v>
      </c>
      <c r="AO57" s="188" t="s">
        <v>0</v>
      </c>
      <c r="AP57" s="188" t="s">
        <v>0</v>
      </c>
      <c r="AQ57" s="596" t="s">
        <v>0</v>
      </c>
      <c r="AR57" s="188" t="s">
        <v>0</v>
      </c>
      <c r="AS57" s="188" t="s">
        <v>0</v>
      </c>
      <c r="AT57" s="188" t="s">
        <v>0</v>
      </c>
      <c r="AU57" s="188" t="s">
        <v>0</v>
      </c>
      <c r="AV57" s="596" t="s">
        <v>0</v>
      </c>
      <c r="AW57" s="188" t="s">
        <v>0</v>
      </c>
      <c r="AX57" s="188" t="s">
        <v>0</v>
      </c>
      <c r="AY57" s="188" t="s">
        <v>0</v>
      </c>
      <c r="AZ57" s="188" t="s">
        <v>0</v>
      </c>
      <c r="BA57" s="596" t="s">
        <v>0</v>
      </c>
      <c r="BB57" s="188" t="s">
        <v>0</v>
      </c>
      <c r="BC57" s="188" t="s">
        <v>0</v>
      </c>
      <c r="BD57" s="188" t="s">
        <v>0</v>
      </c>
      <c r="BE57" s="188" t="s">
        <v>0</v>
      </c>
      <c r="BF57" s="734" t="s">
        <v>0</v>
      </c>
      <c r="BG57" s="735" t="s">
        <v>0</v>
      </c>
      <c r="BH57" s="735" t="s">
        <v>0</v>
      </c>
      <c r="BI57" s="735" t="s">
        <v>0</v>
      </c>
      <c r="BJ57" s="735" t="s">
        <v>0</v>
      </c>
      <c r="BK57" s="734" t="s">
        <v>0</v>
      </c>
      <c r="BL57" s="735" t="s">
        <v>0</v>
      </c>
      <c r="BM57" s="735" t="s">
        <v>0</v>
      </c>
      <c r="BN57" s="735" t="s">
        <v>0</v>
      </c>
      <c r="BO57" s="735" t="s">
        <v>0</v>
      </c>
      <c r="BP57" s="734" t="s">
        <v>0</v>
      </c>
      <c r="BQ57" s="735" t="s">
        <v>0</v>
      </c>
      <c r="BR57" s="735" t="s">
        <v>0</v>
      </c>
      <c r="BS57" s="735" t="s">
        <v>0</v>
      </c>
      <c r="BT57" s="735" t="s">
        <v>0</v>
      </c>
      <c r="BU57" s="734" t="s">
        <v>0</v>
      </c>
      <c r="BV57" s="735" t="s">
        <v>0</v>
      </c>
      <c r="BW57" s="735" t="s">
        <v>0</v>
      </c>
      <c r="BX57" s="735" t="s">
        <v>0</v>
      </c>
      <c r="BY57" s="735" t="s">
        <v>0</v>
      </c>
      <c r="BZ57" s="734" t="s">
        <v>0</v>
      </c>
      <c r="CA57" s="735" t="s">
        <v>0</v>
      </c>
      <c r="CB57" s="735" t="s">
        <v>0</v>
      </c>
      <c r="CC57" s="735" t="s">
        <v>0</v>
      </c>
      <c r="CD57" s="735" t="s">
        <v>0</v>
      </c>
      <c r="CE57" s="734" t="s">
        <v>0</v>
      </c>
    </row>
    <row r="58" spans="2:83" ht="13.15" collapsed="1">
      <c r="B58" s="190" t="s">
        <v>387</v>
      </c>
      <c r="C58" s="179"/>
      <c r="D58" s="179">
        <f t="shared" ref="D58:AI58" si="107">SUM(D54:D56)+D38+D27</f>
        <v>0</v>
      </c>
      <c r="E58" s="179">
        <f t="shared" si="107"/>
        <v>0</v>
      </c>
      <c r="F58" s="179">
        <f t="shared" si="107"/>
        <v>0</v>
      </c>
      <c r="G58" s="179">
        <f t="shared" si="107"/>
        <v>0</v>
      </c>
      <c r="H58" s="179">
        <f t="shared" si="107"/>
        <v>10337</v>
      </c>
      <c r="I58" s="179">
        <f t="shared" si="107"/>
        <v>0</v>
      </c>
      <c r="J58" s="179">
        <f t="shared" si="107"/>
        <v>0</v>
      </c>
      <c r="K58" s="179">
        <f t="shared" si="107"/>
        <v>0</v>
      </c>
      <c r="L58" s="179">
        <f t="shared" si="107"/>
        <v>0</v>
      </c>
      <c r="M58" s="179">
        <f t="shared" si="107"/>
        <v>7484</v>
      </c>
      <c r="N58" s="179">
        <f t="shared" si="107"/>
        <v>5927</v>
      </c>
      <c r="O58" s="179">
        <f t="shared" si="107"/>
        <v>-6624</v>
      </c>
      <c r="P58" s="179">
        <f t="shared" si="107"/>
        <v>46613</v>
      </c>
      <c r="Q58" s="179">
        <f t="shared" si="107"/>
        <v>-11781</v>
      </c>
      <c r="R58" s="179">
        <f t="shared" si="107"/>
        <v>34135</v>
      </c>
      <c r="S58" s="179">
        <f t="shared" si="107"/>
        <v>1514</v>
      </c>
      <c r="T58" s="179">
        <f t="shared" si="107"/>
        <v>6040</v>
      </c>
      <c r="U58" s="179">
        <f t="shared" si="107"/>
        <v>10705</v>
      </c>
      <c r="V58" s="179">
        <f t="shared" si="107"/>
        <v>-3065</v>
      </c>
      <c r="W58" s="555">
        <f t="shared" si="107"/>
        <v>15194</v>
      </c>
      <c r="X58" s="179">
        <f t="shared" si="107"/>
        <v>20773</v>
      </c>
      <c r="Y58" s="179">
        <f t="shared" si="107"/>
        <v>5723</v>
      </c>
      <c r="Z58" s="179">
        <f t="shared" si="107"/>
        <v>-19895</v>
      </c>
      <c r="AA58" s="179">
        <f t="shared" si="107"/>
        <v>-11562</v>
      </c>
      <c r="AB58" s="555">
        <f t="shared" si="107"/>
        <v>-4961</v>
      </c>
      <c r="AC58" s="179">
        <f t="shared" si="107"/>
        <v>22914</v>
      </c>
      <c r="AD58" s="179">
        <f t="shared" si="107"/>
        <v>20921</v>
      </c>
      <c r="AE58" s="179">
        <f t="shared" si="107"/>
        <v>-40055</v>
      </c>
      <c r="AF58" s="179">
        <f t="shared" si="107"/>
        <v>-3926</v>
      </c>
      <c r="AG58" s="555">
        <f t="shared" si="107"/>
        <v>-146</v>
      </c>
      <c r="AH58" s="179">
        <f t="shared" si="107"/>
        <v>6583</v>
      </c>
      <c r="AI58" s="179">
        <f t="shared" si="107"/>
        <v>-6395</v>
      </c>
      <c r="AJ58" s="179">
        <f t="shared" ref="AJ58:AZ58" si="108">SUM(AJ54:AJ56)+AJ38+AJ27</f>
        <v>11185</v>
      </c>
      <c r="AK58" s="179">
        <f t="shared" si="108"/>
        <v>-56938</v>
      </c>
      <c r="AL58" s="555">
        <f t="shared" si="108"/>
        <v>-45565</v>
      </c>
      <c r="AM58" s="179">
        <f t="shared" si="108"/>
        <v>52101</v>
      </c>
      <c r="AN58" s="179">
        <f t="shared" si="108"/>
        <v>-1746</v>
      </c>
      <c r="AO58" s="179">
        <f t="shared" si="108"/>
        <v>-15766</v>
      </c>
      <c r="AP58" s="179">
        <f t="shared" si="108"/>
        <v>11944</v>
      </c>
      <c r="AQ58" s="555">
        <f t="shared" si="108"/>
        <v>46533</v>
      </c>
      <c r="AR58" s="179">
        <f t="shared" si="108"/>
        <v>60006</v>
      </c>
      <c r="AS58" s="179">
        <f t="shared" si="108"/>
        <v>-33655</v>
      </c>
      <c r="AT58" s="179">
        <f t="shared" si="108"/>
        <v>-20883</v>
      </c>
      <c r="AU58" s="179">
        <f t="shared" si="108"/>
        <v>-18895</v>
      </c>
      <c r="AV58" s="555">
        <f t="shared" si="108"/>
        <v>-13427</v>
      </c>
      <c r="AW58" s="179">
        <f t="shared" si="108"/>
        <v>34621</v>
      </c>
      <c r="AX58" s="179">
        <f t="shared" si="108"/>
        <v>-11475</v>
      </c>
      <c r="AY58" s="179">
        <f t="shared" si="108"/>
        <v>48462</v>
      </c>
      <c r="AZ58" s="179">
        <f t="shared" si="108"/>
        <v>-8412</v>
      </c>
      <c r="BA58" s="555">
        <f>63196</f>
        <v>63196</v>
      </c>
      <c r="BB58" s="179">
        <f t="shared" ref="BB58:BZ58" si="109">SUM(BB54:BB56)+BB38+BB27</f>
        <v>28959</v>
      </c>
      <c r="BC58" s="179">
        <f t="shared" si="109"/>
        <v>-45322</v>
      </c>
      <c r="BD58" s="179">
        <f t="shared" si="109"/>
        <v>72937</v>
      </c>
      <c r="BE58" s="179">
        <f t="shared" si="109"/>
        <v>-18683</v>
      </c>
      <c r="BF58" s="736">
        <f t="shared" si="109"/>
        <v>37891</v>
      </c>
      <c r="BG58" s="737">
        <f t="shared" si="109"/>
        <v>20135</v>
      </c>
      <c r="BH58" s="737">
        <f t="shared" si="109"/>
        <v>-7709</v>
      </c>
      <c r="BI58" s="737">
        <f t="shared" si="109"/>
        <v>22579</v>
      </c>
      <c r="BJ58" s="737">
        <f t="shared" si="109"/>
        <v>-5059</v>
      </c>
      <c r="BK58" s="736">
        <f t="shared" si="109"/>
        <v>29946</v>
      </c>
      <c r="BL58" s="737">
        <f t="shared" si="109"/>
        <v>68618</v>
      </c>
      <c r="BM58" s="737">
        <f t="shared" si="109"/>
        <v>7422</v>
      </c>
      <c r="BN58" s="737">
        <f t="shared" si="109"/>
        <v>-45775</v>
      </c>
      <c r="BO58" s="737">
        <f t="shared" si="109"/>
        <v>-3248</v>
      </c>
      <c r="BP58" s="736">
        <f t="shared" si="109"/>
        <v>27017</v>
      </c>
      <c r="BQ58" s="737">
        <f t="shared" si="109"/>
        <v>58489</v>
      </c>
      <c r="BR58" s="737">
        <f t="shared" si="109"/>
        <v>-96688</v>
      </c>
      <c r="BS58" s="737">
        <f t="shared" si="109"/>
        <v>31270</v>
      </c>
      <c r="BT58" s="737">
        <f t="shared" si="109"/>
        <v>25005</v>
      </c>
      <c r="BU58" s="736">
        <f t="shared" si="109"/>
        <v>18076</v>
      </c>
      <c r="BV58" s="737">
        <f t="shared" si="109"/>
        <v>108271.96481483337</v>
      </c>
      <c r="BW58" s="737">
        <f t="shared" si="109"/>
        <v>41267.12610741672</v>
      </c>
      <c r="BX58" s="737">
        <f t="shared" si="109"/>
        <v>86612.653384219404</v>
      </c>
      <c r="BY58" s="737">
        <f t="shared" si="109"/>
        <v>61535.083154537693</v>
      </c>
      <c r="BZ58" s="736">
        <f t="shared" si="109"/>
        <v>297686.82746100728</v>
      </c>
      <c r="CA58" s="737">
        <f t="shared" ref="CA58:CE58" si="110">SUM(CA54:CA56)+CA38+CA27</f>
        <v>117682.98894292829</v>
      </c>
      <c r="CB58" s="737">
        <f t="shared" si="110"/>
        <v>32869.123710888263</v>
      </c>
      <c r="CC58" s="737">
        <f t="shared" si="110"/>
        <v>108061.40939251539</v>
      </c>
      <c r="CD58" s="737">
        <f t="shared" si="110"/>
        <v>66559.543550155446</v>
      </c>
      <c r="CE58" s="736">
        <f t="shared" si="110"/>
        <v>325173.06559648731</v>
      </c>
    </row>
    <row r="59" spans="2:83" ht="6.75" customHeight="1">
      <c r="B59" s="291"/>
      <c r="C59" s="166"/>
      <c r="D59" s="183"/>
      <c r="E59" s="183"/>
      <c r="F59" s="183"/>
      <c r="G59" s="183"/>
      <c r="H59" s="182"/>
      <c r="I59" s="183"/>
      <c r="J59" s="183"/>
      <c r="K59" s="183"/>
      <c r="L59" s="183"/>
      <c r="M59" s="182"/>
      <c r="N59" s="183"/>
      <c r="O59" s="183"/>
      <c r="P59" s="183"/>
      <c r="Q59" s="183"/>
      <c r="R59" s="182"/>
      <c r="S59" s="182"/>
      <c r="T59" s="182"/>
      <c r="U59" s="182"/>
      <c r="V59" s="182"/>
      <c r="W59" s="562"/>
      <c r="X59" s="182"/>
      <c r="Y59" s="182"/>
      <c r="Z59" s="182"/>
      <c r="AA59" s="182"/>
      <c r="AB59" s="562"/>
      <c r="AC59" s="182"/>
      <c r="AD59" s="182"/>
      <c r="AE59" s="182"/>
      <c r="AF59" s="182"/>
      <c r="AG59" s="562"/>
      <c r="AH59" s="182"/>
      <c r="AI59" s="182"/>
      <c r="AJ59" s="182"/>
      <c r="AK59" s="182"/>
      <c r="AL59" s="562"/>
      <c r="AM59" s="182"/>
      <c r="AN59" s="182"/>
      <c r="AO59" s="182"/>
      <c r="AP59" s="182"/>
      <c r="AQ59" s="562"/>
      <c r="AR59" s="182"/>
      <c r="AS59" s="182"/>
      <c r="AT59" s="182"/>
      <c r="AU59" s="182"/>
      <c r="AV59" s="562"/>
      <c r="AW59" s="182"/>
      <c r="AX59" s="182"/>
      <c r="AY59" s="182"/>
      <c r="AZ59" s="182"/>
      <c r="BA59" s="562"/>
      <c r="BB59" s="182"/>
      <c r="BC59" s="182"/>
      <c r="BD59" s="182"/>
      <c r="BE59" s="182"/>
      <c r="BF59" s="732"/>
      <c r="BG59" s="733"/>
      <c r="BH59" s="733"/>
      <c r="BI59" s="733"/>
      <c r="BJ59" s="733"/>
      <c r="BK59" s="732"/>
      <c r="BL59" s="733"/>
      <c r="BM59" s="733"/>
      <c r="BN59" s="733"/>
      <c r="BO59" s="733"/>
      <c r="BP59" s="732"/>
      <c r="BQ59" s="733"/>
      <c r="BR59" s="733"/>
      <c r="BS59" s="733"/>
      <c r="BT59" s="733"/>
      <c r="BU59" s="732"/>
      <c r="BV59" s="733"/>
      <c r="BW59" s="733"/>
      <c r="BX59" s="733"/>
      <c r="BY59" s="733"/>
      <c r="BZ59" s="732"/>
      <c r="CA59" s="733"/>
      <c r="CB59" s="733"/>
      <c r="CC59" s="733"/>
      <c r="CD59" s="733"/>
      <c r="CE59" s="732"/>
    </row>
    <row r="60" spans="2:83" ht="12.75">
      <c r="B60" s="291" t="s">
        <v>241</v>
      </c>
      <c r="C60" s="166"/>
      <c r="D60" s="297"/>
      <c r="E60" s="182"/>
      <c r="F60" s="182"/>
      <c r="G60" s="182"/>
      <c r="H60" s="396">
        <v>24548</v>
      </c>
      <c r="I60" s="297"/>
      <c r="J60" s="182"/>
      <c r="K60" s="182"/>
      <c r="L60" s="182"/>
      <c r="M60" s="182">
        <f>+H61</f>
        <v>34885</v>
      </c>
      <c r="N60" s="182">
        <f>+M61</f>
        <v>42369</v>
      </c>
      <c r="O60" s="182">
        <f t="shared" ref="O60" si="111">+N61</f>
        <v>48296</v>
      </c>
      <c r="P60" s="182">
        <f t="shared" ref="P60" si="112">+O61</f>
        <v>41672</v>
      </c>
      <c r="Q60" s="182">
        <f t="shared" ref="Q60" si="113">+P61</f>
        <v>88285</v>
      </c>
      <c r="R60" s="182">
        <f>+M61</f>
        <v>42369</v>
      </c>
      <c r="S60" s="182">
        <f>+Q61</f>
        <v>76504</v>
      </c>
      <c r="T60" s="182">
        <f t="shared" ref="T60:V60" si="114">+S61</f>
        <v>78018</v>
      </c>
      <c r="U60" s="182">
        <f t="shared" si="114"/>
        <v>84058</v>
      </c>
      <c r="V60" s="182">
        <f t="shared" si="114"/>
        <v>94763</v>
      </c>
      <c r="W60" s="562">
        <f>+R61</f>
        <v>76504</v>
      </c>
      <c r="X60" s="182">
        <f>+V61</f>
        <v>91698</v>
      </c>
      <c r="Y60" s="182">
        <f t="shared" ref="Y60" si="115">+X61</f>
        <v>112471</v>
      </c>
      <c r="Z60" s="182">
        <f t="shared" ref="Z60" si="116">+Y61</f>
        <v>118194</v>
      </c>
      <c r="AA60" s="182">
        <f t="shared" ref="AA60" si="117">+Z61</f>
        <v>98299</v>
      </c>
      <c r="AB60" s="562">
        <f>+W61</f>
        <v>91698</v>
      </c>
      <c r="AC60" s="182">
        <f>+AA61</f>
        <v>86737</v>
      </c>
      <c r="AD60" s="182">
        <f t="shared" ref="AD60" si="118">+AC61</f>
        <v>109651</v>
      </c>
      <c r="AE60" s="182">
        <f t="shared" ref="AE60" si="119">+AD61</f>
        <v>130572</v>
      </c>
      <c r="AF60" s="182">
        <f t="shared" ref="AF60" si="120">+AE61</f>
        <v>90517</v>
      </c>
      <c r="AG60" s="597">
        <v>87937</v>
      </c>
      <c r="AH60" s="182">
        <f>+AF61</f>
        <v>87791</v>
      </c>
      <c r="AI60" s="182">
        <f t="shared" ref="AI60" si="121">+AH61</f>
        <v>94374</v>
      </c>
      <c r="AJ60" s="182">
        <f t="shared" ref="AJ60" si="122">+AI61</f>
        <v>87979</v>
      </c>
      <c r="AK60" s="182">
        <f t="shared" ref="AK60" si="123">+AJ61</f>
        <v>99164</v>
      </c>
      <c r="AL60" s="562">
        <f>+AG61</f>
        <v>87791</v>
      </c>
      <c r="AM60" s="182">
        <f>+AK61</f>
        <v>42226</v>
      </c>
      <c r="AN60" s="182">
        <f t="shared" ref="AN60" si="124">+AM61</f>
        <v>94327</v>
      </c>
      <c r="AO60" s="182">
        <f t="shared" ref="AO60" si="125">+AN61</f>
        <v>92581</v>
      </c>
      <c r="AP60" s="182">
        <f t="shared" ref="AP60" si="126">+AO61</f>
        <v>76815</v>
      </c>
      <c r="AQ60" s="562">
        <f>+AL61</f>
        <v>42226</v>
      </c>
      <c r="AR60" s="182">
        <f>+AP61</f>
        <v>88759</v>
      </c>
      <c r="AS60" s="182">
        <f t="shared" ref="AS60" si="127">+AR61</f>
        <v>148765</v>
      </c>
      <c r="AT60" s="182">
        <f t="shared" ref="AT60" si="128">+AS61</f>
        <v>115110</v>
      </c>
      <c r="AU60" s="182">
        <f t="shared" ref="AU60" si="129">+AT61</f>
        <v>94227</v>
      </c>
      <c r="AV60" s="562">
        <f>+AQ61</f>
        <v>88759</v>
      </c>
      <c r="AW60" s="182">
        <f>+AU61</f>
        <v>75332</v>
      </c>
      <c r="AX60" s="182">
        <f t="shared" ref="AX60" si="130">+AW61</f>
        <v>109953</v>
      </c>
      <c r="AY60" s="182">
        <f t="shared" ref="AY60" si="131">+AX61</f>
        <v>98478</v>
      </c>
      <c r="AZ60" s="182">
        <f t="shared" ref="AZ60" si="132">+AY61</f>
        <v>146940</v>
      </c>
      <c r="BA60" s="562">
        <f>+AV61</f>
        <v>75332</v>
      </c>
      <c r="BB60" s="182">
        <f>+AZ61</f>
        <v>138528</v>
      </c>
      <c r="BC60" s="182">
        <f t="shared" ref="BC60" si="133">+BB61</f>
        <v>167487</v>
      </c>
      <c r="BD60" s="182">
        <f t="shared" ref="BD60" si="134">+BC61</f>
        <v>122165</v>
      </c>
      <c r="BE60" s="182">
        <f t="shared" ref="BE60" si="135">+BD61</f>
        <v>195102</v>
      </c>
      <c r="BF60" s="732">
        <f>+BA61</f>
        <v>138528</v>
      </c>
      <c r="BG60" s="733">
        <f>+BE61</f>
        <v>176419</v>
      </c>
      <c r="BH60" s="733">
        <f t="shared" ref="BH60" si="136">+BG61</f>
        <v>196554</v>
      </c>
      <c r="BI60" s="733">
        <f t="shared" ref="BI60" si="137">+BH61</f>
        <v>188845</v>
      </c>
      <c r="BJ60" s="733">
        <f t="shared" ref="BJ60" si="138">+BI61</f>
        <v>211424</v>
      </c>
      <c r="BK60" s="732">
        <f>+BF61</f>
        <v>176419</v>
      </c>
      <c r="BL60" s="733">
        <f>+BJ61</f>
        <v>206365</v>
      </c>
      <c r="BM60" s="733">
        <f t="shared" ref="BM60" si="139">+BL61</f>
        <v>274983</v>
      </c>
      <c r="BN60" s="733">
        <f t="shared" ref="BN60" si="140">+BM61</f>
        <v>282405</v>
      </c>
      <c r="BO60" s="733">
        <f t="shared" ref="BO60" si="141">+BN61</f>
        <v>236630</v>
      </c>
      <c r="BP60" s="732">
        <f>+BK61</f>
        <v>206365</v>
      </c>
      <c r="BQ60" s="733">
        <f>+BO61</f>
        <v>233382</v>
      </c>
      <c r="BR60" s="733">
        <f t="shared" ref="BR60" si="142">+BQ61</f>
        <v>291871</v>
      </c>
      <c r="BS60" s="733">
        <f t="shared" ref="BS60" si="143">+BR61</f>
        <v>195183</v>
      </c>
      <c r="BT60" s="733">
        <f t="shared" ref="BT60" si="144">+BS61</f>
        <v>226453</v>
      </c>
      <c r="BU60" s="732">
        <f>+BP61</f>
        <v>233382</v>
      </c>
      <c r="BV60" s="733">
        <f>+BT61</f>
        <v>251458</v>
      </c>
      <c r="BW60" s="733">
        <f t="shared" ref="BW60" si="145">+BV61</f>
        <v>359729.96481483337</v>
      </c>
      <c r="BX60" s="733">
        <f t="shared" ref="BX60" si="146">+BW61</f>
        <v>400997.09092225006</v>
      </c>
      <c r="BY60" s="733">
        <f t="shared" ref="BY60" si="147">+BX61</f>
        <v>487609.74430646945</v>
      </c>
      <c r="BZ60" s="732">
        <f>+BU61</f>
        <v>251458</v>
      </c>
      <c r="CA60" s="733">
        <f>+BY61</f>
        <v>549144.82746100717</v>
      </c>
      <c r="CB60" s="733">
        <f t="shared" ref="CB60" si="148">+CA61</f>
        <v>666827.81640393543</v>
      </c>
      <c r="CC60" s="733">
        <f t="shared" ref="CC60" si="149">+CB61</f>
        <v>699696.94011482364</v>
      </c>
      <c r="CD60" s="733">
        <f t="shared" ref="CD60" si="150">+CC61</f>
        <v>807758.34950733907</v>
      </c>
      <c r="CE60" s="732">
        <f>+BZ61</f>
        <v>549144.82746100728</v>
      </c>
    </row>
    <row r="61" spans="2:83" ht="12.75">
      <c r="B61" s="291" t="s">
        <v>242</v>
      </c>
      <c r="C61" s="166"/>
      <c r="D61" s="183"/>
      <c r="E61" s="183"/>
      <c r="F61" s="183"/>
      <c r="G61" s="183"/>
      <c r="H61" s="182">
        <f>+H60+H58</f>
        <v>34885</v>
      </c>
      <c r="I61" s="183"/>
      <c r="J61" s="183"/>
      <c r="K61" s="183"/>
      <c r="L61" s="183"/>
      <c r="M61" s="182">
        <f t="shared" ref="M61:AE61" si="151">+M60+M58</f>
        <v>42369</v>
      </c>
      <c r="N61" s="182">
        <f t="shared" si="151"/>
        <v>48296</v>
      </c>
      <c r="O61" s="182">
        <f t="shared" si="151"/>
        <v>41672</v>
      </c>
      <c r="P61" s="182">
        <f t="shared" si="151"/>
        <v>88285</v>
      </c>
      <c r="Q61" s="182">
        <f t="shared" si="151"/>
        <v>76504</v>
      </c>
      <c r="R61" s="182">
        <f t="shared" si="151"/>
        <v>76504</v>
      </c>
      <c r="S61" s="182">
        <f t="shared" si="151"/>
        <v>78018</v>
      </c>
      <c r="T61" s="182">
        <f t="shared" si="151"/>
        <v>84058</v>
      </c>
      <c r="U61" s="182">
        <f t="shared" si="151"/>
        <v>94763</v>
      </c>
      <c r="V61" s="182">
        <f t="shared" si="151"/>
        <v>91698</v>
      </c>
      <c r="W61" s="562">
        <f t="shared" si="151"/>
        <v>91698</v>
      </c>
      <c r="X61" s="182">
        <f t="shared" si="151"/>
        <v>112471</v>
      </c>
      <c r="Y61" s="182">
        <f t="shared" si="151"/>
        <v>118194</v>
      </c>
      <c r="Z61" s="182">
        <f t="shared" si="151"/>
        <v>98299</v>
      </c>
      <c r="AA61" s="182">
        <f t="shared" si="151"/>
        <v>86737</v>
      </c>
      <c r="AB61" s="562">
        <f t="shared" si="151"/>
        <v>86737</v>
      </c>
      <c r="AC61" s="182">
        <f t="shared" si="151"/>
        <v>109651</v>
      </c>
      <c r="AD61" s="182">
        <f t="shared" si="151"/>
        <v>130572</v>
      </c>
      <c r="AE61" s="182">
        <f t="shared" si="151"/>
        <v>90517</v>
      </c>
      <c r="AF61" s="396">
        <v>87791</v>
      </c>
      <c r="AG61" s="562">
        <f t="shared" ref="AG61:BA61" si="152">+AG60+AG58</f>
        <v>87791</v>
      </c>
      <c r="AH61" s="182">
        <f t="shared" si="152"/>
        <v>94374</v>
      </c>
      <c r="AI61" s="182">
        <f t="shared" si="152"/>
        <v>87979</v>
      </c>
      <c r="AJ61" s="182">
        <f t="shared" si="152"/>
        <v>99164</v>
      </c>
      <c r="AK61" s="182">
        <f t="shared" si="152"/>
        <v>42226</v>
      </c>
      <c r="AL61" s="562">
        <f t="shared" si="152"/>
        <v>42226</v>
      </c>
      <c r="AM61" s="182">
        <f t="shared" si="152"/>
        <v>94327</v>
      </c>
      <c r="AN61" s="182">
        <f t="shared" si="152"/>
        <v>92581</v>
      </c>
      <c r="AO61" s="182">
        <f t="shared" si="152"/>
        <v>76815</v>
      </c>
      <c r="AP61" s="182">
        <f t="shared" si="152"/>
        <v>88759</v>
      </c>
      <c r="AQ61" s="562">
        <f t="shared" si="152"/>
        <v>88759</v>
      </c>
      <c r="AR61" s="182">
        <f t="shared" si="152"/>
        <v>148765</v>
      </c>
      <c r="AS61" s="182">
        <f t="shared" si="152"/>
        <v>115110</v>
      </c>
      <c r="AT61" s="182">
        <f t="shared" si="152"/>
        <v>94227</v>
      </c>
      <c r="AU61" s="182">
        <f t="shared" si="152"/>
        <v>75332</v>
      </c>
      <c r="AV61" s="562">
        <f t="shared" si="152"/>
        <v>75332</v>
      </c>
      <c r="AW61" s="182">
        <f t="shared" si="152"/>
        <v>109953</v>
      </c>
      <c r="AX61" s="182">
        <f t="shared" si="152"/>
        <v>98478</v>
      </c>
      <c r="AY61" s="182">
        <f t="shared" si="152"/>
        <v>146940</v>
      </c>
      <c r="AZ61" s="182">
        <f t="shared" si="152"/>
        <v>138528</v>
      </c>
      <c r="BA61" s="562">
        <f t="shared" si="152"/>
        <v>138528</v>
      </c>
      <c r="BB61" s="182">
        <f t="shared" ref="BB61:BF61" si="153">+BB60+BB58</f>
        <v>167487</v>
      </c>
      <c r="BC61" s="182">
        <f t="shared" si="153"/>
        <v>122165</v>
      </c>
      <c r="BD61" s="182">
        <f t="shared" si="153"/>
        <v>195102</v>
      </c>
      <c r="BE61" s="182">
        <f t="shared" si="153"/>
        <v>176419</v>
      </c>
      <c r="BF61" s="732">
        <f t="shared" si="153"/>
        <v>176419</v>
      </c>
      <c r="BG61" s="733">
        <f t="shared" ref="BG61:BK61" si="154">+BG60+BG58</f>
        <v>196554</v>
      </c>
      <c r="BH61" s="733">
        <f t="shared" si="154"/>
        <v>188845</v>
      </c>
      <c r="BI61" s="733">
        <f t="shared" si="154"/>
        <v>211424</v>
      </c>
      <c r="BJ61" s="733">
        <f t="shared" si="154"/>
        <v>206365</v>
      </c>
      <c r="BK61" s="732">
        <f t="shared" si="154"/>
        <v>206365</v>
      </c>
      <c r="BL61" s="733">
        <f t="shared" ref="BL61:BP61" si="155">+BL60+BL58</f>
        <v>274983</v>
      </c>
      <c r="BM61" s="733">
        <f t="shared" si="155"/>
        <v>282405</v>
      </c>
      <c r="BN61" s="733">
        <f t="shared" si="155"/>
        <v>236630</v>
      </c>
      <c r="BO61" s="733">
        <f t="shared" si="155"/>
        <v>233382</v>
      </c>
      <c r="BP61" s="732">
        <f t="shared" si="155"/>
        <v>233382</v>
      </c>
      <c r="BQ61" s="733">
        <f t="shared" ref="BQ61:BU61" si="156">+BQ60+BQ58</f>
        <v>291871</v>
      </c>
      <c r="BR61" s="733">
        <f t="shared" si="156"/>
        <v>195183</v>
      </c>
      <c r="BS61" s="733">
        <f t="shared" si="156"/>
        <v>226453</v>
      </c>
      <c r="BT61" s="733">
        <f t="shared" si="156"/>
        <v>251458</v>
      </c>
      <c r="BU61" s="732">
        <f t="shared" si="156"/>
        <v>251458</v>
      </c>
      <c r="BV61" s="733">
        <f t="shared" ref="BV61:BZ61" si="157">+BV60+BV58</f>
        <v>359729.96481483337</v>
      </c>
      <c r="BW61" s="733">
        <f t="shared" si="157"/>
        <v>400997.09092225006</v>
      </c>
      <c r="BX61" s="733">
        <f t="shared" si="157"/>
        <v>487609.74430646945</v>
      </c>
      <c r="BY61" s="733">
        <f t="shared" si="157"/>
        <v>549144.82746100717</v>
      </c>
      <c r="BZ61" s="732">
        <f t="shared" si="157"/>
        <v>549144.82746100728</v>
      </c>
      <c r="CA61" s="733">
        <f t="shared" ref="CA61:CE61" si="158">+CA60+CA58</f>
        <v>666827.81640393543</v>
      </c>
      <c r="CB61" s="733">
        <f t="shared" si="158"/>
        <v>699696.94011482364</v>
      </c>
      <c r="CC61" s="733">
        <f t="shared" si="158"/>
        <v>807758.34950733907</v>
      </c>
      <c r="CD61" s="733">
        <f t="shared" si="158"/>
        <v>874317.89305749454</v>
      </c>
      <c r="CE61" s="732">
        <f t="shared" si="158"/>
        <v>874317.89305749466</v>
      </c>
    </row>
    <row r="62" spans="2:83" ht="8.25" customHeight="1">
      <c r="B62" s="291"/>
      <c r="C62" s="166"/>
      <c r="D62" s="183"/>
      <c r="E62" s="183"/>
      <c r="F62" s="183"/>
      <c r="G62" s="183"/>
      <c r="H62" s="182"/>
      <c r="I62" s="183"/>
      <c r="J62" s="183"/>
      <c r="K62" s="183"/>
      <c r="L62" s="183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562"/>
      <c r="X62" s="182"/>
      <c r="Y62" s="182"/>
      <c r="Z62" s="182"/>
      <c r="AA62" s="182"/>
      <c r="AB62" s="562"/>
      <c r="AC62" s="182"/>
      <c r="AD62" s="182"/>
      <c r="AE62" s="182"/>
      <c r="AF62" s="182"/>
      <c r="AG62" s="562"/>
      <c r="AH62" s="182"/>
      <c r="AI62" s="182"/>
      <c r="AJ62" s="182"/>
      <c r="AK62" s="182"/>
      <c r="AL62" s="562"/>
      <c r="AM62" s="182"/>
      <c r="AN62" s="182"/>
      <c r="AO62" s="182"/>
      <c r="AP62" s="182"/>
      <c r="AQ62" s="562"/>
      <c r="AR62" s="182"/>
      <c r="AS62" s="182"/>
      <c r="AT62" s="182"/>
      <c r="AU62" s="182"/>
      <c r="AV62" s="562"/>
      <c r="AW62" s="182"/>
      <c r="AX62" s="182"/>
      <c r="AY62" s="182"/>
      <c r="AZ62" s="182"/>
      <c r="BA62" s="562"/>
      <c r="BB62" s="182"/>
      <c r="BC62" s="182"/>
      <c r="BD62" s="182"/>
      <c r="BE62" s="182"/>
      <c r="BF62" s="732"/>
      <c r="BG62" s="733"/>
      <c r="BH62" s="733"/>
      <c r="BI62" s="733"/>
      <c r="BJ62" s="733"/>
      <c r="BK62" s="732"/>
      <c r="BL62" s="733"/>
      <c r="BM62" s="733"/>
      <c r="BN62" s="733"/>
      <c r="BO62" s="733"/>
      <c r="BP62" s="732"/>
      <c r="BQ62" s="733"/>
      <c r="BR62" s="733"/>
      <c r="BS62" s="733"/>
      <c r="BT62" s="733"/>
      <c r="BU62" s="732"/>
      <c r="BV62" s="733"/>
      <c r="BW62" s="733"/>
      <c r="BX62" s="733"/>
      <c r="BY62" s="733"/>
      <c r="BZ62" s="732"/>
      <c r="CA62" s="733"/>
      <c r="CB62" s="733"/>
      <c r="CC62" s="733"/>
      <c r="CD62" s="733"/>
      <c r="CE62" s="732"/>
    </row>
    <row r="63" spans="2:83" ht="13.15">
      <c r="B63" s="321" t="s">
        <v>224</v>
      </c>
      <c r="C63" s="166"/>
      <c r="D63" s="183"/>
      <c r="E63" s="183"/>
      <c r="F63" s="183"/>
      <c r="G63" s="183"/>
      <c r="H63" s="182"/>
      <c r="I63" s="183"/>
      <c r="J63" s="183"/>
      <c r="K63" s="183"/>
      <c r="L63" s="183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562"/>
      <c r="X63" s="182"/>
      <c r="Y63" s="182"/>
      <c r="Z63" s="182"/>
      <c r="AA63" s="182"/>
      <c r="AB63" s="562"/>
      <c r="AC63" s="182"/>
      <c r="AD63" s="182"/>
      <c r="AE63" s="182"/>
      <c r="AF63" s="182"/>
      <c r="AG63" s="562"/>
      <c r="AH63" s="182"/>
      <c r="AI63" s="182"/>
      <c r="AJ63" s="182"/>
      <c r="AK63" s="182"/>
      <c r="AL63" s="562"/>
      <c r="AM63" s="182"/>
      <c r="AN63" s="182"/>
      <c r="AO63" s="182"/>
      <c r="AP63" s="182"/>
      <c r="AQ63" s="562"/>
      <c r="AR63" s="182"/>
      <c r="AS63" s="182"/>
      <c r="AT63" s="182"/>
      <c r="AU63" s="182"/>
      <c r="AV63" s="562"/>
      <c r="AW63" s="182"/>
      <c r="AX63" s="182"/>
      <c r="AY63" s="182"/>
      <c r="AZ63" s="182"/>
      <c r="BA63" s="562"/>
      <c r="BB63" s="182"/>
      <c r="BC63" s="182"/>
      <c r="BD63" s="182"/>
      <c r="BE63" s="182"/>
      <c r="BF63" s="732"/>
      <c r="BG63" s="733"/>
      <c r="BH63" s="733"/>
      <c r="BI63" s="733"/>
      <c r="BJ63" s="733"/>
      <c r="BK63" s="732"/>
      <c r="BL63" s="733"/>
      <c r="BM63" s="733"/>
      <c r="BN63" s="733"/>
      <c r="BO63" s="733"/>
      <c r="BP63" s="732"/>
      <c r="BQ63" s="733"/>
      <c r="BR63" s="733"/>
      <c r="BS63" s="733"/>
      <c r="BT63" s="733"/>
      <c r="BU63" s="732"/>
      <c r="BV63" s="733"/>
      <c r="BW63" s="733"/>
      <c r="BX63" s="733"/>
      <c r="BY63" s="733"/>
      <c r="BZ63" s="732"/>
      <c r="CA63" s="733"/>
      <c r="CB63" s="733"/>
      <c r="CC63" s="733"/>
      <c r="CD63" s="733"/>
      <c r="CE63" s="732"/>
    </row>
    <row r="64" spans="2:83" ht="12.75">
      <c r="B64" s="293" t="s">
        <v>286</v>
      </c>
      <c r="C64" s="166"/>
      <c r="D64" s="182"/>
      <c r="E64" s="182"/>
      <c r="F64" s="182"/>
      <c r="G64" s="182"/>
      <c r="H64" s="182">
        <f>+H27</f>
        <v>21952</v>
      </c>
      <c r="I64" s="182"/>
      <c r="J64" s="182"/>
      <c r="K64" s="182"/>
      <c r="L64" s="182"/>
      <c r="M64" s="182">
        <f t="shared" ref="M64:AR64" si="159">+M27</f>
        <v>25146</v>
      </c>
      <c r="N64" s="182">
        <f t="shared" si="159"/>
        <v>15075</v>
      </c>
      <c r="O64" s="182">
        <f t="shared" si="159"/>
        <v>100</v>
      </c>
      <c r="P64" s="182">
        <f t="shared" si="159"/>
        <v>9910</v>
      </c>
      <c r="Q64" s="182">
        <f t="shared" si="159"/>
        <v>16338</v>
      </c>
      <c r="R64" s="182">
        <f t="shared" si="159"/>
        <v>41423</v>
      </c>
      <c r="S64" s="182">
        <f t="shared" si="159"/>
        <v>10026</v>
      </c>
      <c r="T64" s="182">
        <f t="shared" si="159"/>
        <v>15524</v>
      </c>
      <c r="U64" s="182">
        <f t="shared" si="159"/>
        <v>16118</v>
      </c>
      <c r="V64" s="182">
        <f t="shared" si="159"/>
        <v>24292</v>
      </c>
      <c r="W64" s="562">
        <f t="shared" si="159"/>
        <v>65960</v>
      </c>
      <c r="X64" s="182">
        <f t="shared" si="159"/>
        <v>17138</v>
      </c>
      <c r="Y64" s="182">
        <f t="shared" si="159"/>
        <v>17323</v>
      </c>
      <c r="Z64" s="182">
        <f t="shared" si="159"/>
        <v>20243</v>
      </c>
      <c r="AA64" s="182">
        <f t="shared" si="159"/>
        <v>13406</v>
      </c>
      <c r="AB64" s="562">
        <f t="shared" si="159"/>
        <v>68110</v>
      </c>
      <c r="AC64" s="182">
        <f t="shared" si="159"/>
        <v>32425</v>
      </c>
      <c r="AD64" s="182">
        <f t="shared" si="159"/>
        <v>16517</v>
      </c>
      <c r="AE64" s="182">
        <f t="shared" si="159"/>
        <v>32837</v>
      </c>
      <c r="AF64" s="182">
        <f t="shared" si="159"/>
        <v>25867</v>
      </c>
      <c r="AG64" s="562">
        <f t="shared" si="159"/>
        <v>107646</v>
      </c>
      <c r="AH64" s="182">
        <f t="shared" si="159"/>
        <v>42989</v>
      </c>
      <c r="AI64" s="182">
        <f t="shared" si="159"/>
        <v>24238</v>
      </c>
      <c r="AJ64" s="182">
        <f t="shared" si="159"/>
        <v>31593</v>
      </c>
      <c r="AK64" s="182">
        <f t="shared" si="159"/>
        <v>28982</v>
      </c>
      <c r="AL64" s="562">
        <f t="shared" si="159"/>
        <v>127802</v>
      </c>
      <c r="AM64" s="182">
        <f t="shared" si="159"/>
        <v>44347</v>
      </c>
      <c r="AN64" s="182">
        <f t="shared" si="159"/>
        <v>36928</v>
      </c>
      <c r="AO64" s="182">
        <f t="shared" si="159"/>
        <v>45674</v>
      </c>
      <c r="AP64" s="182">
        <f t="shared" si="159"/>
        <v>33658</v>
      </c>
      <c r="AQ64" s="562">
        <f t="shared" si="159"/>
        <v>160607</v>
      </c>
      <c r="AR64" s="182">
        <f t="shared" si="159"/>
        <v>52435</v>
      </c>
      <c r="AS64" s="182">
        <f t="shared" ref="AS64:BZ64" si="160">+AS27</f>
        <v>29214</v>
      </c>
      <c r="AT64" s="182">
        <f t="shared" si="160"/>
        <v>59648</v>
      </c>
      <c r="AU64" s="182">
        <f t="shared" si="160"/>
        <v>38789</v>
      </c>
      <c r="AV64" s="562">
        <f t="shared" si="160"/>
        <v>180086</v>
      </c>
      <c r="AW64" s="182">
        <f t="shared" si="160"/>
        <v>57854</v>
      </c>
      <c r="AX64" s="182">
        <f t="shared" si="160"/>
        <v>54386</v>
      </c>
      <c r="AY64" s="182">
        <f t="shared" si="160"/>
        <v>48501</v>
      </c>
      <c r="AZ64" s="182">
        <f t="shared" si="160"/>
        <v>39875</v>
      </c>
      <c r="BA64" s="562">
        <f t="shared" si="160"/>
        <v>200616</v>
      </c>
      <c r="BB64" s="182">
        <f t="shared" si="160"/>
        <v>79040</v>
      </c>
      <c r="BC64" s="182">
        <f t="shared" si="160"/>
        <v>33811</v>
      </c>
      <c r="BD64" s="182">
        <f t="shared" si="160"/>
        <v>42159</v>
      </c>
      <c r="BE64" s="182">
        <f t="shared" si="160"/>
        <v>43844</v>
      </c>
      <c r="BF64" s="732">
        <f t="shared" si="160"/>
        <v>198854</v>
      </c>
      <c r="BG64" s="733">
        <f t="shared" si="160"/>
        <v>66813</v>
      </c>
      <c r="BH64" s="733">
        <f t="shared" si="160"/>
        <v>51515</v>
      </c>
      <c r="BI64" s="733">
        <f t="shared" si="160"/>
        <v>92438</v>
      </c>
      <c r="BJ64" s="733">
        <f t="shared" si="160"/>
        <v>33839</v>
      </c>
      <c r="BK64" s="732">
        <f t="shared" si="160"/>
        <v>244605</v>
      </c>
      <c r="BL64" s="733">
        <f t="shared" si="160"/>
        <v>85505</v>
      </c>
      <c r="BM64" s="733">
        <f t="shared" si="160"/>
        <v>49824</v>
      </c>
      <c r="BN64" s="733">
        <f t="shared" si="160"/>
        <v>61043</v>
      </c>
      <c r="BO64" s="733">
        <f t="shared" si="160"/>
        <v>47722</v>
      </c>
      <c r="BP64" s="732">
        <f t="shared" si="160"/>
        <v>244094</v>
      </c>
      <c r="BQ64" s="733">
        <f t="shared" si="160"/>
        <v>109588</v>
      </c>
      <c r="BR64" s="733">
        <f t="shared" si="160"/>
        <v>33771</v>
      </c>
      <c r="BS64" s="733">
        <f t="shared" si="160"/>
        <v>90382</v>
      </c>
      <c r="BT64" s="733">
        <f t="shared" si="160"/>
        <v>75659</v>
      </c>
      <c r="BU64" s="732">
        <f t="shared" si="160"/>
        <v>309400</v>
      </c>
      <c r="BV64" s="733">
        <f t="shared" si="160"/>
        <v>110180.35937983336</v>
      </c>
      <c r="BW64" s="733">
        <f t="shared" si="160"/>
        <v>43924.930507416721</v>
      </c>
      <c r="BX64" s="733">
        <f t="shared" si="160"/>
        <v>89352.00063421941</v>
      </c>
      <c r="BY64" s="733">
        <f t="shared" si="160"/>
        <v>64348.359254537696</v>
      </c>
      <c r="BZ64" s="732">
        <f t="shared" si="160"/>
        <v>307805.64977600728</v>
      </c>
      <c r="CA64" s="733">
        <f t="shared" ref="CA64:CE64" si="161">+CA27</f>
        <v>119556.68542492829</v>
      </c>
      <c r="CB64" s="733">
        <f t="shared" si="161"/>
        <v>34765.024182888264</v>
      </c>
      <c r="CC64" s="733">
        <f t="shared" si="161"/>
        <v>109997.21478251538</v>
      </c>
      <c r="CD64" s="733">
        <f t="shared" si="161"/>
        <v>68547.591994155446</v>
      </c>
      <c r="CE64" s="732">
        <f t="shared" si="161"/>
        <v>332866.51638448733</v>
      </c>
    </row>
    <row r="65" spans="2:83" ht="12.75">
      <c r="B65" s="293" t="s">
        <v>287</v>
      </c>
      <c r="C65" s="166"/>
      <c r="D65" s="182"/>
      <c r="E65" s="182"/>
      <c r="F65" s="182"/>
      <c r="G65" s="182"/>
      <c r="H65" s="182">
        <f>+H32</f>
        <v>-11188</v>
      </c>
      <c r="I65" s="182"/>
      <c r="J65" s="182"/>
      <c r="K65" s="182"/>
      <c r="L65" s="182"/>
      <c r="M65" s="182">
        <f t="shared" ref="M65:AR65" si="162">+M32</f>
        <v>-13663</v>
      </c>
      <c r="N65" s="182">
        <f t="shared" si="162"/>
        <v>-3778</v>
      </c>
      <c r="O65" s="182">
        <f t="shared" si="162"/>
        <v>-2717</v>
      </c>
      <c r="P65" s="182">
        <f t="shared" si="162"/>
        <v>-3757</v>
      </c>
      <c r="Q65" s="182">
        <f t="shared" si="162"/>
        <v>-3662</v>
      </c>
      <c r="R65" s="182">
        <f t="shared" si="162"/>
        <v>-13914</v>
      </c>
      <c r="S65" s="182">
        <f t="shared" si="162"/>
        <v>-6148</v>
      </c>
      <c r="T65" s="182">
        <f t="shared" si="162"/>
        <v>-4259</v>
      </c>
      <c r="U65" s="182">
        <f t="shared" si="162"/>
        <v>-4458</v>
      </c>
      <c r="V65" s="182">
        <f t="shared" si="162"/>
        <v>-5186</v>
      </c>
      <c r="W65" s="562">
        <f t="shared" si="162"/>
        <v>-20051</v>
      </c>
      <c r="X65" s="182">
        <f t="shared" si="162"/>
        <v>-4181</v>
      </c>
      <c r="Y65" s="182">
        <f t="shared" si="162"/>
        <v>-4785</v>
      </c>
      <c r="Z65" s="182">
        <f t="shared" si="162"/>
        <v>-9843</v>
      </c>
      <c r="AA65" s="182">
        <f t="shared" si="162"/>
        <v>-4436</v>
      </c>
      <c r="AB65" s="562">
        <f t="shared" si="162"/>
        <v>-23245</v>
      </c>
      <c r="AC65" s="182">
        <f t="shared" si="162"/>
        <v>-4543</v>
      </c>
      <c r="AD65" s="182">
        <f t="shared" si="162"/>
        <v>-8636</v>
      </c>
      <c r="AE65" s="182">
        <f t="shared" si="162"/>
        <v>-13433</v>
      </c>
      <c r="AF65" s="182">
        <f t="shared" si="162"/>
        <v>-11206</v>
      </c>
      <c r="AG65" s="562">
        <f t="shared" si="162"/>
        <v>-37818</v>
      </c>
      <c r="AH65" s="182">
        <f t="shared" si="162"/>
        <v>-5985</v>
      </c>
      <c r="AI65" s="182">
        <f t="shared" si="162"/>
        <v>-7255</v>
      </c>
      <c r="AJ65" s="182">
        <f t="shared" si="162"/>
        <v>-6256</v>
      </c>
      <c r="AK65" s="182">
        <f t="shared" si="162"/>
        <v>-5616</v>
      </c>
      <c r="AL65" s="562">
        <f t="shared" si="162"/>
        <v>-25112</v>
      </c>
      <c r="AM65" s="182">
        <f t="shared" si="162"/>
        <v>-8608</v>
      </c>
      <c r="AN65" s="182">
        <f t="shared" si="162"/>
        <v>-5530</v>
      </c>
      <c r="AO65" s="182">
        <f t="shared" si="162"/>
        <v>-5335</v>
      </c>
      <c r="AP65" s="182">
        <f t="shared" si="162"/>
        <v>-8100</v>
      </c>
      <c r="AQ65" s="562">
        <f t="shared" si="162"/>
        <v>-27573</v>
      </c>
      <c r="AR65" s="182">
        <f t="shared" si="162"/>
        <v>-7271</v>
      </c>
      <c r="AS65" s="182">
        <f t="shared" ref="AS65:BZ65" si="163">+AS32</f>
        <v>-4297</v>
      </c>
      <c r="AT65" s="182">
        <f t="shared" si="163"/>
        <v>-11174</v>
      </c>
      <c r="AU65" s="182">
        <f t="shared" si="163"/>
        <v>-7295</v>
      </c>
      <c r="AV65" s="562">
        <f t="shared" si="163"/>
        <v>-30037</v>
      </c>
      <c r="AW65" s="182">
        <f t="shared" si="163"/>
        <v>-6259</v>
      </c>
      <c r="AX65" s="182">
        <f t="shared" si="163"/>
        <v>-6652</v>
      </c>
      <c r="AY65" s="182">
        <f t="shared" si="163"/>
        <v>-7178</v>
      </c>
      <c r="AZ65" s="182">
        <f t="shared" si="163"/>
        <v>-4335</v>
      </c>
      <c r="BA65" s="562">
        <f t="shared" si="163"/>
        <v>-24424</v>
      </c>
      <c r="BB65" s="182">
        <f t="shared" si="163"/>
        <v>-7639</v>
      </c>
      <c r="BC65" s="182">
        <f t="shared" si="163"/>
        <v>-3511</v>
      </c>
      <c r="BD65" s="182">
        <f t="shared" si="163"/>
        <v>-1241</v>
      </c>
      <c r="BE65" s="182">
        <f t="shared" si="163"/>
        <v>-2970</v>
      </c>
      <c r="BF65" s="732">
        <f t="shared" si="163"/>
        <v>-15361</v>
      </c>
      <c r="BG65" s="733">
        <f t="shared" si="163"/>
        <v>-4037</v>
      </c>
      <c r="BH65" s="733">
        <f t="shared" si="163"/>
        <v>-1418</v>
      </c>
      <c r="BI65" s="733">
        <f t="shared" si="163"/>
        <v>-1808</v>
      </c>
      <c r="BJ65" s="733">
        <f t="shared" si="163"/>
        <v>-1523</v>
      </c>
      <c r="BK65" s="732">
        <f t="shared" si="163"/>
        <v>-8786</v>
      </c>
      <c r="BL65" s="733">
        <f t="shared" si="163"/>
        <v>-2051</v>
      </c>
      <c r="BM65" s="733">
        <f t="shared" si="163"/>
        <v>-1026</v>
      </c>
      <c r="BN65" s="733">
        <f t="shared" si="163"/>
        <v>-3420</v>
      </c>
      <c r="BO65" s="733">
        <f t="shared" si="163"/>
        <v>-5837</v>
      </c>
      <c r="BP65" s="732">
        <f t="shared" si="163"/>
        <v>-12334</v>
      </c>
      <c r="BQ65" s="733">
        <f t="shared" si="163"/>
        <v>-2038</v>
      </c>
      <c r="BR65" s="733">
        <f t="shared" si="163"/>
        <v>-1327</v>
      </c>
      <c r="BS65" s="733">
        <f t="shared" si="163"/>
        <v>-901</v>
      </c>
      <c r="BT65" s="733">
        <f t="shared" si="163"/>
        <v>-724</v>
      </c>
      <c r="BU65" s="732">
        <f t="shared" si="163"/>
        <v>-4990</v>
      </c>
      <c r="BV65" s="733">
        <f t="shared" si="163"/>
        <v>-1908.3945650000001</v>
      </c>
      <c r="BW65" s="733">
        <f t="shared" si="163"/>
        <v>-2657.8044000000004</v>
      </c>
      <c r="BX65" s="733">
        <f t="shared" si="163"/>
        <v>-2739.3472499999998</v>
      </c>
      <c r="BY65" s="733">
        <f t="shared" si="163"/>
        <v>-2813.2761</v>
      </c>
      <c r="BZ65" s="732">
        <f t="shared" si="163"/>
        <v>-10118.822315000001</v>
      </c>
      <c r="CA65" s="733">
        <f t="shared" ref="CA65:CE65" si="164">+CA32</f>
        <v>-1873.6964820000003</v>
      </c>
      <c r="CB65" s="733">
        <f t="shared" si="164"/>
        <v>-1895.9004720000003</v>
      </c>
      <c r="CC65" s="733">
        <f t="shared" si="164"/>
        <v>-1935.80539</v>
      </c>
      <c r="CD65" s="733">
        <f t="shared" si="164"/>
        <v>-1988.0484440000002</v>
      </c>
      <c r="CE65" s="732">
        <f t="shared" si="164"/>
        <v>-7693.4507880000001</v>
      </c>
    </row>
    <row r="66" spans="2:83" ht="12.75">
      <c r="B66" s="175" t="s">
        <v>288</v>
      </c>
      <c r="C66" s="166"/>
      <c r="D66" s="182"/>
      <c r="E66" s="182"/>
      <c r="F66" s="182"/>
      <c r="G66" s="182"/>
      <c r="H66" s="182">
        <f>+H47</f>
        <v>-2401</v>
      </c>
      <c r="I66" s="182"/>
      <c r="J66" s="182"/>
      <c r="K66" s="182"/>
      <c r="L66" s="182"/>
      <c r="M66" s="182">
        <f t="shared" ref="M66:AR66" si="165">+M47</f>
        <v>-1186</v>
      </c>
      <c r="N66" s="182">
        <f t="shared" si="165"/>
        <v>-267</v>
      </c>
      <c r="O66" s="182">
        <f t="shared" si="165"/>
        <v>-269</v>
      </c>
      <c r="P66" s="182">
        <f t="shared" si="165"/>
        <v>-269</v>
      </c>
      <c r="Q66" s="182">
        <f t="shared" si="165"/>
        <v>0</v>
      </c>
      <c r="R66" s="182">
        <f t="shared" si="165"/>
        <v>-805</v>
      </c>
      <c r="S66" s="182">
        <f t="shared" si="165"/>
        <v>0</v>
      </c>
      <c r="T66" s="182">
        <f t="shared" si="165"/>
        <v>0</v>
      </c>
      <c r="U66" s="182">
        <f t="shared" si="165"/>
        <v>0</v>
      </c>
      <c r="V66" s="182">
        <f t="shared" si="165"/>
        <v>0</v>
      </c>
      <c r="W66" s="562">
        <f t="shared" si="165"/>
        <v>0</v>
      </c>
      <c r="X66" s="182">
        <f t="shared" si="165"/>
        <v>0</v>
      </c>
      <c r="Y66" s="182">
        <f t="shared" si="165"/>
        <v>0</v>
      </c>
      <c r="Z66" s="182">
        <f t="shared" si="165"/>
        <v>0</v>
      </c>
      <c r="AA66" s="182">
        <f t="shared" si="165"/>
        <v>0</v>
      </c>
      <c r="AB66" s="562">
        <f t="shared" si="165"/>
        <v>0</v>
      </c>
      <c r="AC66" s="182">
        <f t="shared" si="165"/>
        <v>0</v>
      </c>
      <c r="AD66" s="182">
        <f t="shared" si="165"/>
        <v>0</v>
      </c>
      <c r="AE66" s="182">
        <f t="shared" si="165"/>
        <v>0</v>
      </c>
      <c r="AF66" s="182">
        <f t="shared" si="165"/>
        <v>0</v>
      </c>
      <c r="AG66" s="562">
        <f t="shared" si="165"/>
        <v>0</v>
      </c>
      <c r="AH66" s="182">
        <f t="shared" si="165"/>
        <v>-747</v>
      </c>
      <c r="AI66" s="182">
        <f t="shared" si="165"/>
        <v>-47</v>
      </c>
      <c r="AJ66" s="182">
        <f t="shared" si="165"/>
        <v>-409</v>
      </c>
      <c r="AK66" s="182">
        <f t="shared" si="165"/>
        <v>-414</v>
      </c>
      <c r="AL66" s="562">
        <f t="shared" si="165"/>
        <v>-1617</v>
      </c>
      <c r="AM66" s="182">
        <f t="shared" si="165"/>
        <v>-419</v>
      </c>
      <c r="AN66" s="182">
        <f t="shared" si="165"/>
        <v>-417</v>
      </c>
      <c r="AO66" s="182">
        <f t="shared" si="165"/>
        <v>-437</v>
      </c>
      <c r="AP66" s="182">
        <f t="shared" si="165"/>
        <v>-436</v>
      </c>
      <c r="AQ66" s="562">
        <f t="shared" si="165"/>
        <v>-1709</v>
      </c>
      <c r="AR66" s="182">
        <f t="shared" si="165"/>
        <v>-30</v>
      </c>
      <c r="AS66" s="182">
        <f t="shared" ref="AS66:BZ66" si="166">+AS47</f>
        <v>-31</v>
      </c>
      <c r="AT66" s="182">
        <f t="shared" si="166"/>
        <v>-31</v>
      </c>
      <c r="AU66" s="182">
        <f t="shared" si="166"/>
        <v>-22</v>
      </c>
      <c r="AV66" s="562">
        <f t="shared" si="166"/>
        <v>-114</v>
      </c>
      <c r="AW66" s="182">
        <f t="shared" si="166"/>
        <v>0</v>
      </c>
      <c r="AX66" s="182">
        <f t="shared" si="166"/>
        <v>-90</v>
      </c>
      <c r="AY66" s="182">
        <f t="shared" si="166"/>
        <v>0</v>
      </c>
      <c r="AZ66" s="182">
        <f t="shared" si="166"/>
        <v>0</v>
      </c>
      <c r="BA66" s="562">
        <f t="shared" si="166"/>
        <v>-90</v>
      </c>
      <c r="BB66" s="182">
        <f t="shared" si="166"/>
        <v>0</v>
      </c>
      <c r="BC66" s="182">
        <f t="shared" si="166"/>
        <v>0</v>
      </c>
      <c r="BD66" s="182">
        <f t="shared" si="166"/>
        <v>0</v>
      </c>
      <c r="BE66" s="182">
        <f t="shared" si="166"/>
        <v>0</v>
      </c>
      <c r="BF66" s="732">
        <f t="shared" si="166"/>
        <v>0</v>
      </c>
      <c r="BG66" s="733">
        <f t="shared" si="166"/>
        <v>0</v>
      </c>
      <c r="BH66" s="733">
        <f t="shared" si="166"/>
        <v>0</v>
      </c>
      <c r="BI66" s="733">
        <f t="shared" si="166"/>
        <v>0</v>
      </c>
      <c r="BJ66" s="733">
        <f t="shared" si="166"/>
        <v>0</v>
      </c>
      <c r="BK66" s="732">
        <f t="shared" si="166"/>
        <v>0</v>
      </c>
      <c r="BL66" s="733">
        <f t="shared" si="166"/>
        <v>0</v>
      </c>
      <c r="BM66" s="733">
        <f t="shared" si="166"/>
        <v>0</v>
      </c>
      <c r="BN66" s="733">
        <f t="shared" si="166"/>
        <v>0</v>
      </c>
      <c r="BO66" s="733">
        <f t="shared" si="166"/>
        <v>0</v>
      </c>
      <c r="BP66" s="732">
        <f t="shared" si="166"/>
        <v>0</v>
      </c>
      <c r="BQ66" s="733">
        <f t="shared" si="166"/>
        <v>0</v>
      </c>
      <c r="BR66" s="733">
        <f t="shared" si="166"/>
        <v>0</v>
      </c>
      <c r="BS66" s="733">
        <f t="shared" si="166"/>
        <v>0</v>
      </c>
      <c r="BT66" s="733">
        <f t="shared" si="166"/>
        <v>0</v>
      </c>
      <c r="BU66" s="732">
        <f t="shared" si="166"/>
        <v>0</v>
      </c>
      <c r="BV66" s="733">
        <f t="shared" si="166"/>
        <v>0</v>
      </c>
      <c r="BW66" s="733">
        <f t="shared" si="166"/>
        <v>0</v>
      </c>
      <c r="BX66" s="733">
        <f t="shared" si="166"/>
        <v>0</v>
      </c>
      <c r="BY66" s="733">
        <f t="shared" si="166"/>
        <v>0</v>
      </c>
      <c r="BZ66" s="732">
        <f t="shared" si="166"/>
        <v>0</v>
      </c>
      <c r="CA66" s="733">
        <f t="shared" ref="CA66:CE66" si="167">+CA47</f>
        <v>0</v>
      </c>
      <c r="CB66" s="733">
        <f t="shared" si="167"/>
        <v>0</v>
      </c>
      <c r="CC66" s="733">
        <f t="shared" si="167"/>
        <v>0</v>
      </c>
      <c r="CD66" s="733">
        <f t="shared" si="167"/>
        <v>0</v>
      </c>
      <c r="CE66" s="732">
        <f t="shared" si="167"/>
        <v>0</v>
      </c>
    </row>
    <row r="67" spans="2:83" ht="4.5" customHeight="1">
      <c r="B67" s="293"/>
      <c r="C67" s="166"/>
      <c r="D67" s="188" t="s">
        <v>0</v>
      </c>
      <c r="E67" s="188" t="s">
        <v>0</v>
      </c>
      <c r="F67" s="188" t="s">
        <v>0</v>
      </c>
      <c r="G67" s="188" t="s">
        <v>0</v>
      </c>
      <c r="H67" s="188" t="s">
        <v>0</v>
      </c>
      <c r="I67" s="188" t="s">
        <v>0</v>
      </c>
      <c r="J67" s="188" t="s">
        <v>0</v>
      </c>
      <c r="K67" s="188" t="s">
        <v>0</v>
      </c>
      <c r="L67" s="188" t="s">
        <v>0</v>
      </c>
      <c r="M67" s="188" t="s">
        <v>0</v>
      </c>
      <c r="N67" s="188" t="s">
        <v>0</v>
      </c>
      <c r="O67" s="188" t="s">
        <v>0</v>
      </c>
      <c r="P67" s="188" t="s">
        <v>0</v>
      </c>
      <c r="Q67" s="188" t="s">
        <v>0</v>
      </c>
      <c r="R67" s="188" t="s">
        <v>0</v>
      </c>
      <c r="S67" s="188" t="s">
        <v>0</v>
      </c>
      <c r="T67" s="188" t="s">
        <v>0</v>
      </c>
      <c r="U67" s="188" t="s">
        <v>0</v>
      </c>
      <c r="V67" s="188" t="s">
        <v>0</v>
      </c>
      <c r="W67" s="596" t="s">
        <v>0</v>
      </c>
      <c r="X67" s="188" t="s">
        <v>0</v>
      </c>
      <c r="Y67" s="188" t="s">
        <v>0</v>
      </c>
      <c r="Z67" s="188" t="s">
        <v>0</v>
      </c>
      <c r="AA67" s="188" t="s">
        <v>0</v>
      </c>
      <c r="AB67" s="596" t="s">
        <v>0</v>
      </c>
      <c r="AC67" s="188" t="s">
        <v>0</v>
      </c>
      <c r="AD67" s="188" t="s">
        <v>0</v>
      </c>
      <c r="AE67" s="188" t="s">
        <v>0</v>
      </c>
      <c r="AF67" s="188" t="s">
        <v>0</v>
      </c>
      <c r="AG67" s="596" t="s">
        <v>0</v>
      </c>
      <c r="AH67" s="188" t="s">
        <v>0</v>
      </c>
      <c r="AI67" s="188" t="s">
        <v>0</v>
      </c>
      <c r="AJ67" s="188" t="s">
        <v>0</v>
      </c>
      <c r="AK67" s="188" t="s">
        <v>0</v>
      </c>
      <c r="AL67" s="596" t="s">
        <v>0</v>
      </c>
      <c r="AM67" s="188" t="s">
        <v>0</v>
      </c>
      <c r="AN67" s="188" t="s">
        <v>0</v>
      </c>
      <c r="AO67" s="188" t="s">
        <v>0</v>
      </c>
      <c r="AP67" s="188" t="s">
        <v>0</v>
      </c>
      <c r="AQ67" s="596" t="s">
        <v>0</v>
      </c>
      <c r="AR67" s="188" t="s">
        <v>0</v>
      </c>
      <c r="AS67" s="188" t="s">
        <v>0</v>
      </c>
      <c r="AT67" s="188" t="s">
        <v>0</v>
      </c>
      <c r="AU67" s="188" t="s">
        <v>0</v>
      </c>
      <c r="AV67" s="596" t="s">
        <v>0</v>
      </c>
      <c r="AW67" s="188" t="s">
        <v>0</v>
      </c>
      <c r="AX67" s="188" t="s">
        <v>0</v>
      </c>
      <c r="AY67" s="188" t="s">
        <v>0</v>
      </c>
      <c r="AZ67" s="188" t="s">
        <v>0</v>
      </c>
      <c r="BA67" s="596" t="s">
        <v>0</v>
      </c>
      <c r="BB67" s="188" t="s">
        <v>0</v>
      </c>
      <c r="BC67" s="188" t="s">
        <v>0</v>
      </c>
      <c r="BD67" s="188" t="s">
        <v>0</v>
      </c>
      <c r="BE67" s="188" t="s">
        <v>0</v>
      </c>
      <c r="BF67" s="734" t="s">
        <v>0</v>
      </c>
      <c r="BG67" s="735" t="s">
        <v>0</v>
      </c>
      <c r="BH67" s="735" t="s">
        <v>0</v>
      </c>
      <c r="BI67" s="735" t="s">
        <v>0</v>
      </c>
      <c r="BJ67" s="735" t="s">
        <v>0</v>
      </c>
      <c r="BK67" s="734" t="s">
        <v>0</v>
      </c>
      <c r="BL67" s="735" t="s">
        <v>0</v>
      </c>
      <c r="BM67" s="735" t="s">
        <v>0</v>
      </c>
      <c r="BN67" s="735" t="s">
        <v>0</v>
      </c>
      <c r="BO67" s="735" t="s">
        <v>0</v>
      </c>
      <c r="BP67" s="734" t="s">
        <v>0</v>
      </c>
      <c r="BQ67" s="735" t="s">
        <v>0</v>
      </c>
      <c r="BR67" s="735" t="s">
        <v>0</v>
      </c>
      <c r="BS67" s="735" t="s">
        <v>0</v>
      </c>
      <c r="BT67" s="735" t="s">
        <v>0</v>
      </c>
      <c r="BU67" s="734" t="s">
        <v>0</v>
      </c>
      <c r="BV67" s="735" t="s">
        <v>0</v>
      </c>
      <c r="BW67" s="735" t="s">
        <v>0</v>
      </c>
      <c r="BX67" s="735" t="s">
        <v>0</v>
      </c>
      <c r="BY67" s="735" t="s">
        <v>0</v>
      </c>
      <c r="BZ67" s="734" t="s">
        <v>0</v>
      </c>
      <c r="CA67" s="735" t="s">
        <v>0</v>
      </c>
      <c r="CB67" s="735" t="s">
        <v>0</v>
      </c>
      <c r="CC67" s="735" t="s">
        <v>0</v>
      </c>
      <c r="CD67" s="735" t="s">
        <v>0</v>
      </c>
      <c r="CE67" s="734" t="s">
        <v>0</v>
      </c>
    </row>
    <row r="68" spans="2:83" ht="13.15">
      <c r="B68" s="295" t="s">
        <v>224</v>
      </c>
      <c r="C68" s="166"/>
      <c r="D68" s="179">
        <f t="shared" ref="D68:G68" si="168">D64+D65+D66</f>
        <v>0</v>
      </c>
      <c r="E68" s="179">
        <f t="shared" si="168"/>
        <v>0</v>
      </c>
      <c r="F68" s="179">
        <f t="shared" si="168"/>
        <v>0</v>
      </c>
      <c r="G68" s="179">
        <f t="shared" si="168"/>
        <v>0</v>
      </c>
      <c r="H68" s="179">
        <f>H64+H65+H66</f>
        <v>8363</v>
      </c>
      <c r="I68" s="179">
        <f t="shared" ref="I68:AQ68" si="169">I64+I65+I66</f>
        <v>0</v>
      </c>
      <c r="J68" s="179">
        <f t="shared" si="169"/>
        <v>0</v>
      </c>
      <c r="K68" s="179">
        <f t="shared" si="169"/>
        <v>0</v>
      </c>
      <c r="L68" s="179">
        <f t="shared" si="169"/>
        <v>0</v>
      </c>
      <c r="M68" s="179">
        <f t="shared" si="169"/>
        <v>10297</v>
      </c>
      <c r="N68" s="179">
        <f t="shared" si="169"/>
        <v>11030</v>
      </c>
      <c r="O68" s="179">
        <f t="shared" si="169"/>
        <v>-2886</v>
      </c>
      <c r="P68" s="179">
        <f t="shared" si="169"/>
        <v>5884</v>
      </c>
      <c r="Q68" s="179">
        <f t="shared" si="169"/>
        <v>12676</v>
      </c>
      <c r="R68" s="179">
        <f t="shared" si="169"/>
        <v>26704</v>
      </c>
      <c r="S68" s="179">
        <f t="shared" si="169"/>
        <v>3878</v>
      </c>
      <c r="T68" s="179">
        <f t="shared" si="169"/>
        <v>11265</v>
      </c>
      <c r="U68" s="179">
        <f t="shared" si="169"/>
        <v>11660</v>
      </c>
      <c r="V68" s="179">
        <f t="shared" si="169"/>
        <v>19106</v>
      </c>
      <c r="W68" s="555">
        <f t="shared" si="169"/>
        <v>45909</v>
      </c>
      <c r="X68" s="179">
        <f t="shared" si="169"/>
        <v>12957</v>
      </c>
      <c r="Y68" s="179">
        <f t="shared" si="169"/>
        <v>12538</v>
      </c>
      <c r="Z68" s="179">
        <f t="shared" si="169"/>
        <v>10400</v>
      </c>
      <c r="AA68" s="179">
        <f t="shared" si="169"/>
        <v>8970</v>
      </c>
      <c r="AB68" s="555">
        <f t="shared" si="169"/>
        <v>44865</v>
      </c>
      <c r="AC68" s="179">
        <f t="shared" si="169"/>
        <v>27882</v>
      </c>
      <c r="AD68" s="179">
        <f t="shared" si="169"/>
        <v>7881</v>
      </c>
      <c r="AE68" s="179">
        <f t="shared" si="169"/>
        <v>19404</v>
      </c>
      <c r="AF68" s="179">
        <f t="shared" si="169"/>
        <v>14661</v>
      </c>
      <c r="AG68" s="555">
        <f t="shared" si="169"/>
        <v>69828</v>
      </c>
      <c r="AH68" s="179">
        <f t="shared" si="169"/>
        <v>36257</v>
      </c>
      <c r="AI68" s="179">
        <f t="shared" si="169"/>
        <v>16936</v>
      </c>
      <c r="AJ68" s="179">
        <f t="shared" si="169"/>
        <v>24928</v>
      </c>
      <c r="AK68" s="179">
        <f t="shared" si="169"/>
        <v>22952</v>
      </c>
      <c r="AL68" s="555">
        <f t="shared" si="169"/>
        <v>101073</v>
      </c>
      <c r="AM68" s="179">
        <f t="shared" si="169"/>
        <v>35320</v>
      </c>
      <c r="AN68" s="179">
        <f t="shared" si="169"/>
        <v>30981</v>
      </c>
      <c r="AO68" s="179">
        <f t="shared" si="169"/>
        <v>39902</v>
      </c>
      <c r="AP68" s="179">
        <f t="shared" si="169"/>
        <v>25122</v>
      </c>
      <c r="AQ68" s="555">
        <f t="shared" si="169"/>
        <v>131325</v>
      </c>
      <c r="AR68" s="179">
        <f t="shared" ref="AR68:AV68" si="170">AR64+AR65+AR66</f>
        <v>45134</v>
      </c>
      <c r="AS68" s="179">
        <f t="shared" si="170"/>
        <v>24886</v>
      </c>
      <c r="AT68" s="179">
        <f t="shared" si="170"/>
        <v>48443</v>
      </c>
      <c r="AU68" s="179">
        <f t="shared" si="170"/>
        <v>31472</v>
      </c>
      <c r="AV68" s="555">
        <f t="shared" si="170"/>
        <v>149935</v>
      </c>
      <c r="AW68" s="179">
        <f t="shared" ref="AW68:BA68" si="171">AW64+AW65+AW66</f>
        <v>51595</v>
      </c>
      <c r="AX68" s="179">
        <f t="shared" si="171"/>
        <v>47644</v>
      </c>
      <c r="AY68" s="179">
        <f t="shared" si="171"/>
        <v>41323</v>
      </c>
      <c r="AZ68" s="179">
        <f t="shared" si="171"/>
        <v>35540</v>
      </c>
      <c r="BA68" s="555">
        <f t="shared" si="171"/>
        <v>176102</v>
      </c>
      <c r="BB68" s="179">
        <f t="shared" ref="BB68:BF68" si="172">BB64+BB65+BB66</f>
        <v>71401</v>
      </c>
      <c r="BC68" s="179">
        <f t="shared" si="172"/>
        <v>30300</v>
      </c>
      <c r="BD68" s="179">
        <f t="shared" si="172"/>
        <v>40918</v>
      </c>
      <c r="BE68" s="179">
        <f t="shared" si="172"/>
        <v>40874</v>
      </c>
      <c r="BF68" s="736">
        <f t="shared" si="172"/>
        <v>183493</v>
      </c>
      <c r="BG68" s="737">
        <f t="shared" ref="BG68:BK68" si="173">BG64+BG65+BG66</f>
        <v>62776</v>
      </c>
      <c r="BH68" s="737">
        <f t="shared" si="173"/>
        <v>50097</v>
      </c>
      <c r="BI68" s="737">
        <f t="shared" si="173"/>
        <v>90630</v>
      </c>
      <c r="BJ68" s="737">
        <f t="shared" si="173"/>
        <v>32316</v>
      </c>
      <c r="BK68" s="736">
        <f t="shared" si="173"/>
        <v>235819</v>
      </c>
      <c r="BL68" s="737">
        <f t="shared" ref="BL68:BP68" si="174">BL64+BL65+BL66</f>
        <v>83454</v>
      </c>
      <c r="BM68" s="737">
        <f t="shared" si="174"/>
        <v>48798</v>
      </c>
      <c r="BN68" s="737">
        <f t="shared" si="174"/>
        <v>57623</v>
      </c>
      <c r="BO68" s="737">
        <f t="shared" si="174"/>
        <v>41885</v>
      </c>
      <c r="BP68" s="736">
        <f t="shared" si="174"/>
        <v>231760</v>
      </c>
      <c r="BQ68" s="737">
        <f t="shared" ref="BQ68:BU68" si="175">BQ64+BQ65+BQ66</f>
        <v>107550</v>
      </c>
      <c r="BR68" s="737">
        <f t="shared" si="175"/>
        <v>32444</v>
      </c>
      <c r="BS68" s="737">
        <f t="shared" si="175"/>
        <v>89481</v>
      </c>
      <c r="BT68" s="737">
        <f t="shared" si="175"/>
        <v>74935</v>
      </c>
      <c r="BU68" s="736">
        <f t="shared" si="175"/>
        <v>304410</v>
      </c>
      <c r="BV68" s="737">
        <f t="shared" ref="BV68:BZ68" si="176">BV64+BV65+BV66</f>
        <v>108271.96481483337</v>
      </c>
      <c r="BW68" s="737">
        <f t="shared" si="176"/>
        <v>41267.12610741672</v>
      </c>
      <c r="BX68" s="737">
        <f t="shared" si="176"/>
        <v>86612.653384219404</v>
      </c>
      <c r="BY68" s="737">
        <f t="shared" si="176"/>
        <v>61535.083154537693</v>
      </c>
      <c r="BZ68" s="736">
        <f t="shared" si="176"/>
        <v>297686.82746100728</v>
      </c>
      <c r="CA68" s="737">
        <f t="shared" ref="CA68:CE68" si="177">CA64+CA65+CA66</f>
        <v>117682.98894292829</v>
      </c>
      <c r="CB68" s="737">
        <f t="shared" si="177"/>
        <v>32869.123710888263</v>
      </c>
      <c r="CC68" s="737">
        <f t="shared" si="177"/>
        <v>108061.40939251539</v>
      </c>
      <c r="CD68" s="737">
        <f t="shared" si="177"/>
        <v>66559.543550155446</v>
      </c>
      <c r="CE68" s="736">
        <f t="shared" si="177"/>
        <v>325173.06559648731</v>
      </c>
    </row>
    <row r="69" spans="2:83" ht="12.75">
      <c r="B69" s="275" t="s">
        <v>128</v>
      </c>
      <c r="C69" s="166"/>
      <c r="D69" s="183"/>
      <c r="E69" s="183"/>
      <c r="F69" s="183"/>
      <c r="G69" s="183"/>
      <c r="H69" s="182"/>
      <c r="I69" s="183"/>
      <c r="J69" s="183"/>
      <c r="K69" s="183"/>
      <c r="L69" s="183"/>
      <c r="M69" s="283">
        <f>+M68/H68-1</f>
        <v>0.23125672605524339</v>
      </c>
      <c r="N69" s="182"/>
      <c r="O69" s="182"/>
      <c r="P69" s="182"/>
      <c r="Q69" s="283"/>
      <c r="R69" s="283">
        <f t="shared" ref="R69:BA69" si="178">+R68/M68-1</f>
        <v>1.5933767116635913</v>
      </c>
      <c r="S69" s="283">
        <f t="shared" si="178"/>
        <v>-0.64841341795104257</v>
      </c>
      <c r="T69" s="283">
        <f t="shared" si="178"/>
        <v>-4.9033264033264032</v>
      </c>
      <c r="U69" s="283">
        <f t="shared" si="178"/>
        <v>0.98164513936097886</v>
      </c>
      <c r="V69" s="283">
        <f t="shared" si="178"/>
        <v>0.50725781003471138</v>
      </c>
      <c r="W69" s="533">
        <f t="shared" si="178"/>
        <v>0.71918064709406826</v>
      </c>
      <c r="X69" s="283">
        <f t="shared" si="178"/>
        <v>2.3411552346570397</v>
      </c>
      <c r="Y69" s="283">
        <f t="shared" si="178"/>
        <v>0.11300488237905015</v>
      </c>
      <c r="Z69" s="283">
        <f t="shared" si="178"/>
        <v>-0.10806174957118353</v>
      </c>
      <c r="AA69" s="283">
        <f t="shared" si="178"/>
        <v>-0.53051397466764372</v>
      </c>
      <c r="AB69" s="533">
        <f t="shared" si="178"/>
        <v>-2.2740639090374382E-2</v>
      </c>
      <c r="AC69" s="283">
        <f t="shared" si="178"/>
        <v>1.1518870108821488</v>
      </c>
      <c r="AD69" s="283">
        <f t="shared" si="178"/>
        <v>-0.37143085021534539</v>
      </c>
      <c r="AE69" s="283">
        <f t="shared" si="178"/>
        <v>0.86576923076923085</v>
      </c>
      <c r="AF69" s="283">
        <f t="shared" si="178"/>
        <v>0.6344481605351171</v>
      </c>
      <c r="AG69" s="533">
        <f t="shared" si="178"/>
        <v>0.5564025409562019</v>
      </c>
      <c r="AH69" s="283">
        <f t="shared" si="178"/>
        <v>0.30037300050211613</v>
      </c>
      <c r="AI69" s="283">
        <f t="shared" si="178"/>
        <v>1.1489658672757264</v>
      </c>
      <c r="AJ69" s="283">
        <f t="shared" si="178"/>
        <v>0.28468357039785608</v>
      </c>
      <c r="AK69" s="283">
        <f t="shared" si="178"/>
        <v>0.56551394857103876</v>
      </c>
      <c r="AL69" s="533">
        <f t="shared" si="178"/>
        <v>0.4474566076645472</v>
      </c>
      <c r="AM69" s="283">
        <f t="shared" si="178"/>
        <v>-2.5843285434536734E-2</v>
      </c>
      <c r="AN69" s="283">
        <f t="shared" si="178"/>
        <v>0.82929853566367506</v>
      </c>
      <c r="AO69" s="283">
        <f t="shared" si="178"/>
        <v>0.60068998716302957</v>
      </c>
      <c r="AP69" s="283">
        <f t="shared" si="178"/>
        <v>9.4545137678633706E-2</v>
      </c>
      <c r="AQ69" s="533">
        <f t="shared" si="178"/>
        <v>0.29930842064646335</v>
      </c>
      <c r="AR69" s="283">
        <f t="shared" si="178"/>
        <v>0.27785956964892411</v>
      </c>
      <c r="AS69" s="283">
        <f t="shared" si="178"/>
        <v>-0.1967334818114328</v>
      </c>
      <c r="AT69" s="283">
        <f t="shared" si="178"/>
        <v>0.21404942108165015</v>
      </c>
      <c r="AU69" s="283">
        <f t="shared" si="178"/>
        <v>0.25276649948252539</v>
      </c>
      <c r="AV69" s="533">
        <f t="shared" si="178"/>
        <v>0.14170949933371402</v>
      </c>
      <c r="AW69" s="283">
        <f t="shared" si="178"/>
        <v>0.14315150440909297</v>
      </c>
      <c r="AX69" s="283">
        <f t="shared" si="178"/>
        <v>0.91449007474081823</v>
      </c>
      <c r="AY69" s="283">
        <f t="shared" si="178"/>
        <v>-0.14697685940177119</v>
      </c>
      <c r="AZ69" s="283">
        <f t="shared" si="178"/>
        <v>0.12925775292323327</v>
      </c>
      <c r="BA69" s="533">
        <f t="shared" si="178"/>
        <v>0.17452229299363053</v>
      </c>
      <c r="BB69" s="283">
        <f t="shared" ref="BB69" si="179">+BB68/AW68-1</f>
        <v>0.38387440643473214</v>
      </c>
      <c r="BC69" s="283">
        <f t="shared" ref="BC69" si="180">+BC68/AX68-1</f>
        <v>-0.36403324657879266</v>
      </c>
      <c r="BD69" s="283">
        <f t="shared" ref="BD69" si="181">+BD68/AY68-1</f>
        <v>-9.800837306100707E-3</v>
      </c>
      <c r="BE69" s="283">
        <f t="shared" ref="BE69" si="182">+BE68/AZ68-1</f>
        <v>0.15008441193021937</v>
      </c>
      <c r="BF69" s="533">
        <f t="shared" ref="BF69" si="183">+BF68/BA68-1</f>
        <v>4.1969994662184318E-2</v>
      </c>
      <c r="BG69" s="283">
        <f t="shared" ref="BG69" si="184">+BG68/BB68-1</f>
        <v>-0.12079662749821429</v>
      </c>
      <c r="BH69" s="283">
        <f t="shared" ref="BH69" si="185">+BH68/BC68-1</f>
        <v>0.65336633663366328</v>
      </c>
      <c r="BI69" s="283">
        <f t="shared" ref="BI69" si="186">+BI68/BD68-1</f>
        <v>1.2149176401583657</v>
      </c>
      <c r="BJ69" s="283">
        <f t="shared" ref="BJ69" si="187">+BJ68/BE68-1</f>
        <v>-0.20937515290893971</v>
      </c>
      <c r="BK69" s="473">
        <f t="shared" ref="BK69" si="188">+BK68/BF68-1</f>
        <v>0.28516619162583856</v>
      </c>
      <c r="BL69" s="379">
        <f t="shared" ref="BL69" si="189">+BL68/BG68-1</f>
        <v>0.32939339875111506</v>
      </c>
      <c r="BM69" s="379">
        <f t="shared" ref="BM69" si="190">+BM68/BH68-1</f>
        <v>-2.592969638900533E-2</v>
      </c>
      <c r="BN69" s="379">
        <f t="shared" ref="BN69" si="191">+BN68/BI68-1</f>
        <v>-0.36419507889219904</v>
      </c>
      <c r="BO69" s="379">
        <f t="shared" ref="BO69" si="192">+BO68/BJ68-1</f>
        <v>0.29610719148409448</v>
      </c>
      <c r="BP69" s="473">
        <f t="shared" ref="BP69" si="193">+BP68/BK68-1</f>
        <v>-1.7212353542335412E-2</v>
      </c>
      <c r="BQ69" s="379">
        <f t="shared" ref="BQ69" si="194">+BQ68/BL68-1</f>
        <v>0.28873391329355091</v>
      </c>
      <c r="BR69" s="379">
        <f t="shared" ref="BR69" si="195">+BR68/BM68-1</f>
        <v>-0.33513668592975121</v>
      </c>
      <c r="BS69" s="379">
        <f t="shared" ref="BS69" si="196">+BS68/BN68-1</f>
        <v>0.55286951390937644</v>
      </c>
      <c r="BT69" s="379">
        <f t="shared" ref="BT69" si="197">+BT68/BO68-1</f>
        <v>0.789065297839322</v>
      </c>
      <c r="BU69" s="473">
        <f t="shared" ref="BU69" si="198">+BU68/BP68-1</f>
        <v>0.31347083189506386</v>
      </c>
      <c r="BV69" s="379">
        <f t="shared" ref="BV69" si="199">+BV68/BQ68-1</f>
        <v>6.7128295196035026E-3</v>
      </c>
      <c r="BW69" s="379">
        <f t="shared" ref="BW69" si="200">+BW68/BR68-1</f>
        <v>0.27194939302850196</v>
      </c>
      <c r="BX69" s="379">
        <f t="shared" ref="BX69" si="201">+BX68/BS68-1</f>
        <v>-3.2055370590187815E-2</v>
      </c>
      <c r="BY69" s="379">
        <f t="shared" ref="BY69" si="202">+BY68/BT68-1</f>
        <v>-0.1788205357371363</v>
      </c>
      <c r="BZ69" s="473">
        <f t="shared" ref="BZ69" si="203">+BZ68/BU68-1</f>
        <v>-2.2085912220336734E-2</v>
      </c>
      <c r="CA69" s="379">
        <f t="shared" ref="CA69" si="204">+CA68/BV68-1</f>
        <v>8.6920230404885057E-2</v>
      </c>
      <c r="CB69" s="379">
        <f t="shared" ref="CB69" si="205">+CB68/BW68-1</f>
        <v>-0.20350344665797138</v>
      </c>
      <c r="CC69" s="379">
        <f t="shared" ref="CC69" si="206">+CC68/BX68-1</f>
        <v>0.24763998296124123</v>
      </c>
      <c r="CD69" s="379">
        <f t="shared" ref="CD69" si="207">+CD68/BY68-1</f>
        <v>8.1651964018630618E-2</v>
      </c>
      <c r="CE69" s="473">
        <f t="shared" ref="CE69" si="208">+CE68/BZ68-1</f>
        <v>9.2332732253933347E-2</v>
      </c>
    </row>
    <row r="70" spans="2:83" ht="12.75">
      <c r="B70" s="275" t="s">
        <v>226</v>
      </c>
      <c r="C70" s="166"/>
      <c r="D70" s="183"/>
      <c r="E70" s="183"/>
      <c r="F70" s="183"/>
      <c r="G70" s="183"/>
      <c r="H70" s="182"/>
      <c r="I70" s="183"/>
      <c r="J70" s="183"/>
      <c r="K70" s="183"/>
      <c r="L70" s="183"/>
      <c r="M70" s="182"/>
      <c r="N70" s="182"/>
      <c r="O70" s="283">
        <f>+O68/N68-1</f>
        <v>-1.2616500453309156</v>
      </c>
      <c r="P70" s="283">
        <f>+P68/O68-1</f>
        <v>-3.038808038808039</v>
      </c>
      <c r="Q70" s="283">
        <f>+Q68/P68-1</f>
        <v>1.1543167912984362</v>
      </c>
      <c r="R70" s="182"/>
      <c r="S70" s="283">
        <f>+S68/Q68-1</f>
        <v>-0.69406752918901859</v>
      </c>
      <c r="T70" s="283">
        <f>+T68/S68-1</f>
        <v>1.9048478597215057</v>
      </c>
      <c r="U70" s="283">
        <f>+U68/T68-1</f>
        <v>3.5064358632933779E-2</v>
      </c>
      <c r="V70" s="283">
        <f>+V68/U68-1</f>
        <v>0.63859348198970833</v>
      </c>
      <c r="W70" s="562"/>
      <c r="X70" s="283">
        <f>+X68/V68-1</f>
        <v>-0.32183607243797763</v>
      </c>
      <c r="Y70" s="283">
        <f>+Y68/X68-1</f>
        <v>-3.2337732499807093E-2</v>
      </c>
      <c r="Z70" s="283">
        <f>+Z68/Y68-1</f>
        <v>-0.17052161429255064</v>
      </c>
      <c r="AA70" s="283">
        <f>+AA68/Z68-1</f>
        <v>-0.13749999999999996</v>
      </c>
      <c r="AB70" s="562"/>
      <c r="AC70" s="283">
        <f>+AC68/AA68-1</f>
        <v>2.1083612040133781</v>
      </c>
      <c r="AD70" s="283">
        <f>+AD68/AC68-1</f>
        <v>-0.71734452334839682</v>
      </c>
      <c r="AE70" s="283">
        <f>+AE68/AD68-1</f>
        <v>1.4621240959269128</v>
      </c>
      <c r="AF70" s="283">
        <f>+AF68/AE68-1</f>
        <v>-0.24443413729128016</v>
      </c>
      <c r="AG70" s="562"/>
      <c r="AH70" s="283">
        <f>+AH68/AF68-1</f>
        <v>1.4730236682354545</v>
      </c>
      <c r="AI70" s="283">
        <f>+AI68/AH68-1</f>
        <v>-0.5328902005130044</v>
      </c>
      <c r="AJ70" s="283">
        <f>+AJ68/AI68-1</f>
        <v>0.47189418989135579</v>
      </c>
      <c r="AK70" s="283">
        <f>+AK68/AJ68-1</f>
        <v>-7.9268292682926789E-2</v>
      </c>
      <c r="AL70" s="562"/>
      <c r="AM70" s="283">
        <f>+AM68/AK68-1</f>
        <v>0.53886371558034152</v>
      </c>
      <c r="AN70" s="283">
        <f>+AN68/AM68-1</f>
        <v>-0.1228482446206115</v>
      </c>
      <c r="AO70" s="283">
        <f>+AO68/AN68-1</f>
        <v>0.28795067944869435</v>
      </c>
      <c r="AP70" s="283">
        <f>+AP68/AO68-1</f>
        <v>-0.37040749837100895</v>
      </c>
      <c r="AQ70" s="562"/>
      <c r="AR70" s="283">
        <f>+AR68/AP68-1</f>
        <v>0.79659262797547958</v>
      </c>
      <c r="AS70" s="283">
        <f>+AS68/AR68-1</f>
        <v>-0.44861966588381263</v>
      </c>
      <c r="AT70" s="283">
        <f>+AT68/AS68-1</f>
        <v>0.94659647994856555</v>
      </c>
      <c r="AU70" s="283">
        <f>+AU68/AT68-1</f>
        <v>-0.35032925293644079</v>
      </c>
      <c r="AV70" s="562"/>
      <c r="AW70" s="283">
        <f>+AW68/AU68-1</f>
        <v>0.63939374682257255</v>
      </c>
      <c r="AX70" s="283">
        <f>+AX68/AW68-1</f>
        <v>-7.6577187711987627E-2</v>
      </c>
      <c r="AY70" s="283">
        <f>+AY68/AX68-1</f>
        <v>-0.13267148014440433</v>
      </c>
      <c r="AZ70" s="283">
        <f>+AZ68/AY68-1</f>
        <v>-0.13994627689180361</v>
      </c>
      <c r="BA70" s="562"/>
      <c r="BB70" s="283">
        <f>+BB68/AZ68-1</f>
        <v>1.0090320765334835</v>
      </c>
      <c r="BC70" s="283">
        <f>+BC68/BB68-1</f>
        <v>-0.57563619557149059</v>
      </c>
      <c r="BD70" s="283">
        <f>+BD68/BC68-1</f>
        <v>0.35042904290429044</v>
      </c>
      <c r="BE70" s="283">
        <f>+BE68/BD68-1</f>
        <v>-1.0753213744562062E-3</v>
      </c>
      <c r="BF70" s="562"/>
      <c r="BG70" s="283">
        <f>+BG68/BE68-1</f>
        <v>0.53584185545823759</v>
      </c>
      <c r="BH70" s="283">
        <f>+BH68/BG68-1</f>
        <v>-0.20197209124506177</v>
      </c>
      <c r="BI70" s="283">
        <f>+BI68/BH68-1</f>
        <v>0.80909036469249651</v>
      </c>
      <c r="BJ70" s="283">
        <f>+BJ68/BI68-1</f>
        <v>-0.64342932803707376</v>
      </c>
      <c r="BK70" s="791"/>
      <c r="BL70" s="379">
        <f>+BL68/BJ68-1</f>
        <v>1.5824359450427035</v>
      </c>
      <c r="BM70" s="379">
        <f>+BM68/BL68-1</f>
        <v>-0.4152706880437127</v>
      </c>
      <c r="BN70" s="379">
        <f>+BN68/BM68-1</f>
        <v>0.18084757572031651</v>
      </c>
      <c r="BO70" s="379">
        <f>+BO68/BN68-1</f>
        <v>-0.27312010829009248</v>
      </c>
      <c r="BP70" s="791"/>
      <c r="BQ70" s="379">
        <f>+BQ68/BO68-1</f>
        <v>1.5677450161155546</v>
      </c>
      <c r="BR70" s="379">
        <f>+BR68/BQ68-1</f>
        <v>-0.69833565783356577</v>
      </c>
      <c r="BS70" s="379">
        <f>+BS68/BR68-1</f>
        <v>1.7580138084083345</v>
      </c>
      <c r="BT70" s="379">
        <f>+BT68/BS68-1</f>
        <v>-0.16255964953453805</v>
      </c>
      <c r="BU70" s="791"/>
      <c r="BV70" s="379">
        <f>+BV68/BT68-1</f>
        <v>0.44487842549987811</v>
      </c>
      <c r="BW70" s="379">
        <f>+BW68/BV68-1</f>
        <v>-0.61885677259120841</v>
      </c>
      <c r="BX70" s="379">
        <f>+BX68/BW68-1</f>
        <v>1.098829299592369</v>
      </c>
      <c r="BY70" s="379">
        <f>+BY68/BX68-1</f>
        <v>-0.28953702778779866</v>
      </c>
      <c r="BZ70" s="791"/>
      <c r="CA70" s="379">
        <f>+CA68/BY68-1</f>
        <v>0.91245356161105895</v>
      </c>
      <c r="CB70" s="379">
        <f>+CB68/CA68-1</f>
        <v>-0.72069774904486383</v>
      </c>
      <c r="CC70" s="379">
        <f>+CC68/CB68-1</f>
        <v>2.28762672053587</v>
      </c>
      <c r="CD70" s="379">
        <f>+CD68/CC68-1</f>
        <v>-0.3840581580017266</v>
      </c>
      <c r="CE70" s="791"/>
    </row>
    <row r="71" spans="2:83" ht="13.15">
      <c r="B71" s="293" t="s">
        <v>225</v>
      </c>
      <c r="C71" s="170"/>
      <c r="D71" s="166"/>
      <c r="E71" s="166"/>
      <c r="F71" s="166"/>
      <c r="G71" s="166"/>
      <c r="H71" s="283">
        <f>+H68/H77</f>
        <v>9.1478888645810538E-2</v>
      </c>
      <c r="I71" s="283"/>
      <c r="J71" s="283"/>
      <c r="K71" s="283"/>
      <c r="L71" s="283"/>
      <c r="M71" s="283">
        <f t="shared" ref="M71:BA71" si="209">+M68/M77</f>
        <v>9.5376150867897955E-2</v>
      </c>
      <c r="N71" s="283">
        <f t="shared" si="209"/>
        <v>0.36335485571221504</v>
      </c>
      <c r="O71" s="283">
        <f t="shared" si="209"/>
        <v>-8.9344313045631854E-2</v>
      </c>
      <c r="P71" s="283">
        <f t="shared" si="209"/>
        <v>0.17130546174449748</v>
      </c>
      <c r="Q71" s="283">
        <f t="shared" si="209"/>
        <v>0.34659448226834005</v>
      </c>
      <c r="R71" s="283">
        <f t="shared" si="209"/>
        <v>0.19991166276136219</v>
      </c>
      <c r="S71" s="283">
        <f t="shared" si="209"/>
        <v>0.10343264075960847</v>
      </c>
      <c r="T71" s="283">
        <f t="shared" si="209"/>
        <v>0.28249366802918974</v>
      </c>
      <c r="U71" s="283">
        <f t="shared" si="209"/>
        <v>0.27455320351315077</v>
      </c>
      <c r="V71" s="283">
        <f t="shared" si="209"/>
        <v>0.42987962650466871</v>
      </c>
      <c r="W71" s="533">
        <f t="shared" si="209"/>
        <v>0.27944900294611769</v>
      </c>
      <c r="X71" s="283">
        <f t="shared" si="209"/>
        <v>0.28016346652828228</v>
      </c>
      <c r="Y71" s="283">
        <f t="shared" si="209"/>
        <v>0.2586968183881484</v>
      </c>
      <c r="Z71" s="283">
        <f t="shared" si="209"/>
        <v>0.20397356188832447</v>
      </c>
      <c r="AA71" s="283">
        <f t="shared" si="209"/>
        <v>0.17176011029411764</v>
      </c>
      <c r="AB71" s="533">
        <f t="shared" si="209"/>
        <v>0.22667677150435772</v>
      </c>
      <c r="AC71" s="283">
        <f t="shared" si="209"/>
        <v>0.52487716722200262</v>
      </c>
      <c r="AD71" s="283">
        <f t="shared" si="209"/>
        <v>0.14250840837582729</v>
      </c>
      <c r="AE71" s="283">
        <f t="shared" si="209"/>
        <v>0.32617246596066568</v>
      </c>
      <c r="AF71" s="283">
        <f t="shared" si="209"/>
        <v>0.23302868950170866</v>
      </c>
      <c r="AG71" s="533">
        <f t="shared" si="209"/>
        <v>0.30251096054204862</v>
      </c>
      <c r="AH71" s="283">
        <f t="shared" si="209"/>
        <v>0.55884891642775669</v>
      </c>
      <c r="AI71" s="283">
        <f t="shared" si="209"/>
        <v>0.24849969920619783</v>
      </c>
      <c r="AJ71" s="283">
        <f t="shared" si="209"/>
        <v>0.34787462669904268</v>
      </c>
      <c r="AK71" s="283">
        <f t="shared" si="209"/>
        <v>0.30932614555256066</v>
      </c>
      <c r="AL71" s="533">
        <f t="shared" si="209"/>
        <v>0.36241300302270796</v>
      </c>
      <c r="AM71" s="283">
        <f t="shared" si="209"/>
        <v>0.46878940312968692</v>
      </c>
      <c r="AN71" s="283">
        <f t="shared" si="209"/>
        <v>0.39251732569777903</v>
      </c>
      <c r="AO71" s="283">
        <f t="shared" si="209"/>
        <v>0.48266018313556142</v>
      </c>
      <c r="AP71" s="283">
        <f t="shared" si="209"/>
        <v>0.29672588113011433</v>
      </c>
      <c r="AQ71" s="533">
        <f t="shared" si="209"/>
        <v>0.40833999259966358</v>
      </c>
      <c r="AR71" s="283">
        <f t="shared" si="209"/>
        <v>0.52321389239882687</v>
      </c>
      <c r="AS71" s="283">
        <f t="shared" si="209"/>
        <v>0.28015310142969718</v>
      </c>
      <c r="AT71" s="283">
        <f t="shared" si="209"/>
        <v>0.52050629103138535</v>
      </c>
      <c r="AU71" s="283">
        <f t="shared" si="209"/>
        <v>0.3319796204681385</v>
      </c>
      <c r="AV71" s="533">
        <f t="shared" si="209"/>
        <v>0.41308618233814465</v>
      </c>
      <c r="AW71" s="283">
        <f t="shared" si="209"/>
        <v>0.53324858406713793</v>
      </c>
      <c r="AX71" s="283">
        <f t="shared" si="209"/>
        <v>0.47786403482377487</v>
      </c>
      <c r="AY71" s="283">
        <f t="shared" si="209"/>
        <v>0.39379991232584294</v>
      </c>
      <c r="AZ71" s="283">
        <f t="shared" si="209"/>
        <v>0.32373838586263437</v>
      </c>
      <c r="BA71" s="533">
        <f t="shared" si="209"/>
        <v>0.42829278258247155</v>
      </c>
      <c r="BB71" s="283">
        <f t="shared" ref="BB71:BF71" si="210">+BB68/BB77</f>
        <v>0.62952742020807617</v>
      </c>
      <c r="BC71" s="283">
        <f t="shared" si="210"/>
        <v>0.25272534676753439</v>
      </c>
      <c r="BD71" s="283">
        <f t="shared" si="210"/>
        <v>0.32588144407897357</v>
      </c>
      <c r="BE71" s="283">
        <f t="shared" si="210"/>
        <v>0.31237533339956747</v>
      </c>
      <c r="BF71" s="533">
        <f t="shared" si="210"/>
        <v>0.37468732324191428</v>
      </c>
      <c r="BG71" s="283">
        <f t="shared" ref="BG71:BK71" si="211">+BG68/BG77</f>
        <v>0.48036852536290109</v>
      </c>
      <c r="BH71" s="283">
        <f t="shared" si="211"/>
        <v>0.36511453330320898</v>
      </c>
      <c r="BI71" s="283">
        <f t="shared" si="211"/>
        <v>0.63825741570185079</v>
      </c>
      <c r="BJ71" s="283">
        <f t="shared" si="211"/>
        <v>0.22353185308155218</v>
      </c>
      <c r="BK71" s="473">
        <f t="shared" si="211"/>
        <v>0.42531445122984968</v>
      </c>
      <c r="BL71" s="379">
        <f t="shared" ref="BL71:BP71" si="212">+BL68/BL77</f>
        <v>0.57236720277082409</v>
      </c>
      <c r="BM71" s="379">
        <f t="shared" si="212"/>
        <v>0.32814643462355758</v>
      </c>
      <c r="BN71" s="379">
        <f t="shared" si="212"/>
        <v>0.37449875541864075</v>
      </c>
      <c r="BO71" s="379">
        <f t="shared" si="212"/>
        <v>0.26311160806829531</v>
      </c>
      <c r="BP71" s="473">
        <f t="shared" si="212"/>
        <v>0.38145336100636795</v>
      </c>
      <c r="BQ71" s="379">
        <f t="shared" ref="BQ71:BU71" si="213">+BQ68/BQ77</f>
        <v>0.67261208637952707</v>
      </c>
      <c r="BR71" s="379">
        <f t="shared" si="213"/>
        <v>0.19775450744230841</v>
      </c>
      <c r="BS71" s="379">
        <f t="shared" si="213"/>
        <v>0.52672443225297561</v>
      </c>
      <c r="BT71" s="379">
        <f t="shared" si="213"/>
        <v>0.42751109640465079</v>
      </c>
      <c r="BU71" s="473">
        <f t="shared" si="213"/>
        <v>0.4549374182701289</v>
      </c>
      <c r="BV71" s="379">
        <f t="shared" ref="BV71:BZ71" si="214">+BV68/BV77</f>
        <v>0.62408038400757393</v>
      </c>
      <c r="BW71" s="379">
        <f t="shared" si="214"/>
        <v>0.23290159787953196</v>
      </c>
      <c r="BX71" s="379">
        <f t="shared" si="214"/>
        <v>0.47426984686344204</v>
      </c>
      <c r="BY71" s="379">
        <f t="shared" si="214"/>
        <v>0.32809657300186973</v>
      </c>
      <c r="BZ71" s="473">
        <f t="shared" si="214"/>
        <v>0.41296509966713807</v>
      </c>
      <c r="CA71" s="379">
        <f t="shared" ref="CA71:CE71" si="215">+CA68/CA77</f>
        <v>0.62807925442285306</v>
      </c>
      <c r="CB71" s="379">
        <f t="shared" si="215"/>
        <v>0.17336945792420405</v>
      </c>
      <c r="CC71" s="379">
        <f t="shared" si="215"/>
        <v>0.55822455062239185</v>
      </c>
      <c r="CD71" s="379">
        <f t="shared" si="215"/>
        <v>0.33479839865590033</v>
      </c>
      <c r="CE71" s="473">
        <f t="shared" si="215"/>
        <v>0.4226621766446883</v>
      </c>
    </row>
    <row r="72" spans="2:83" ht="13.15">
      <c r="B72" s="293" t="s">
        <v>480</v>
      </c>
      <c r="C72" s="170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340">
        <f t="shared" ref="BB72:BT72" si="216">BB71+BB78</f>
        <v>0.80175446555926888</v>
      </c>
      <c r="BC72" s="340">
        <f t="shared" si="216"/>
        <v>0.45523883696833273</v>
      </c>
      <c r="BD72" s="340">
        <f t="shared" si="216"/>
        <v>0.52245262215281041</v>
      </c>
      <c r="BE72" s="340">
        <f t="shared" si="216"/>
        <v>0.50429553744402</v>
      </c>
      <c r="BF72" s="340">
        <f t="shared" si="216"/>
        <v>0.56572902841639117</v>
      </c>
      <c r="BG72" s="340">
        <f t="shared" si="216"/>
        <v>0.63257272215359062</v>
      </c>
      <c r="BH72" s="340">
        <f t="shared" si="216"/>
        <v>0.50954331563412081</v>
      </c>
      <c r="BI72" s="340">
        <f t="shared" si="216"/>
        <v>0.76914996991852624</v>
      </c>
      <c r="BJ72" s="340">
        <f t="shared" si="216"/>
        <v>0.32839318178868782</v>
      </c>
      <c r="BK72" s="792">
        <f t="shared" si="216"/>
        <v>0.5575014222318242</v>
      </c>
      <c r="BL72" s="792">
        <f t="shared" si="216"/>
        <v>0.68808233021662801</v>
      </c>
      <c r="BM72" s="792">
        <f t="shared" si="216"/>
        <v>0.4119528904682907</v>
      </c>
      <c r="BN72" s="792">
        <f t="shared" si="216"/>
        <v>0.45809970192417615</v>
      </c>
      <c r="BO72" s="792">
        <f t="shared" si="216"/>
        <v>0.36424600662954582</v>
      </c>
      <c r="BP72" s="792">
        <f t="shared" si="216"/>
        <v>0.47724600896166836</v>
      </c>
      <c r="BQ72" s="792">
        <f t="shared" si="216"/>
        <v>0.76927543811643595</v>
      </c>
      <c r="BR72" s="792">
        <f t="shared" si="216"/>
        <v>0.30100382825894223</v>
      </c>
      <c r="BS72" s="792">
        <f t="shared" si="216"/>
        <v>0.6308078289527228</v>
      </c>
      <c r="BT72" s="792">
        <f t="shared" si="216"/>
        <v>0.52859093131994117</v>
      </c>
      <c r="BU72" s="792">
        <f>BU71+BU78</f>
        <v>0.55624903452567764</v>
      </c>
      <c r="BV72" s="792">
        <f t="shared" ref="BV72" si="217">BV71+BV78</f>
        <v>0.70908038400757389</v>
      </c>
      <c r="BW72" s="792">
        <f t="shared" ref="BW72" si="218">BW71+BW78</f>
        <v>0.31290159787953203</v>
      </c>
      <c r="BX72" s="792">
        <f t="shared" ref="BX72" si="219">BX71+BX78</f>
        <v>0.54926984686344205</v>
      </c>
      <c r="BY72" s="792">
        <f t="shared" ref="BY72" si="220">BY71+BY78</f>
        <v>0.39809657300186979</v>
      </c>
      <c r="BZ72" s="792">
        <f>BZ71+BZ78</f>
        <v>0.49027093191074006</v>
      </c>
      <c r="CA72" s="792">
        <f t="shared" ref="CA72:CD72" si="221">CA71+CA78</f>
        <v>0.70807925442285313</v>
      </c>
      <c r="CB72" s="792">
        <f t="shared" si="221"/>
        <v>0.24336945792420411</v>
      </c>
      <c r="CC72" s="792">
        <f t="shared" si="221"/>
        <v>0.6182245506223919</v>
      </c>
      <c r="CD72" s="792">
        <f t="shared" si="221"/>
        <v>0.39479839865590038</v>
      </c>
      <c r="CE72" s="792">
        <f>CE71+CE78</f>
        <v>0.48993367755340778</v>
      </c>
    </row>
    <row r="73" spans="2:83" ht="13.15" thickBot="1">
      <c r="B73" s="197" t="s">
        <v>165</v>
      </c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  <c r="AI73" s="198"/>
      <c r="AJ73" s="198"/>
      <c r="AK73" s="198"/>
      <c r="AL73" s="198"/>
      <c r="AM73" s="198"/>
      <c r="AN73" s="198"/>
      <c r="AO73" s="198"/>
      <c r="AP73" s="198"/>
      <c r="AQ73" s="198"/>
      <c r="AR73" s="198"/>
      <c r="AS73" s="198"/>
      <c r="AT73" s="198"/>
      <c r="AU73" s="198"/>
      <c r="AV73" s="198"/>
      <c r="AW73" s="198"/>
      <c r="AX73" s="198"/>
      <c r="AY73" s="198"/>
      <c r="AZ73" s="198"/>
      <c r="BA73" s="198"/>
      <c r="BB73" s="198"/>
      <c r="BC73" s="198"/>
      <c r="BD73" s="198"/>
      <c r="BE73" s="198"/>
      <c r="BF73" s="198"/>
      <c r="BG73" s="198"/>
      <c r="BH73" s="198"/>
      <c r="BI73" s="198"/>
      <c r="BJ73" s="198"/>
      <c r="BK73" s="198"/>
      <c r="BL73" s="198"/>
      <c r="BM73" s="198"/>
      <c r="BN73" s="198"/>
      <c r="BO73" s="198"/>
      <c r="BP73" s="198"/>
      <c r="BQ73" s="198"/>
      <c r="BR73" s="198"/>
      <c r="BS73" s="198"/>
      <c r="BT73" s="198"/>
      <c r="BU73" s="198"/>
      <c r="BV73" s="198"/>
      <c r="BW73" s="198"/>
      <c r="BX73" s="198"/>
      <c r="BY73" s="198"/>
      <c r="BZ73" s="198"/>
      <c r="CA73" s="198"/>
      <c r="CB73" s="198"/>
      <c r="CC73" s="198"/>
      <c r="CD73" s="198"/>
      <c r="CE73" s="198"/>
    </row>
    <row r="74" spans="2:83" ht="12.75">
      <c r="B74" s="638"/>
      <c r="C74" s="639"/>
      <c r="D74" s="639"/>
      <c r="E74" s="639"/>
      <c r="F74" s="639"/>
      <c r="G74" s="639"/>
      <c r="H74" s="639"/>
      <c r="I74" s="639"/>
      <c r="J74" s="639"/>
      <c r="K74" s="639"/>
      <c r="L74" s="639"/>
      <c r="M74" s="639"/>
      <c r="N74" s="639"/>
      <c r="O74" s="639"/>
      <c r="P74" s="639"/>
      <c r="Q74" s="639"/>
      <c r="R74" s="639"/>
      <c r="S74" s="639"/>
      <c r="T74" s="639"/>
      <c r="U74" s="639"/>
      <c r="V74" s="639"/>
      <c r="W74" s="639"/>
      <c r="X74" s="639"/>
      <c r="Y74" s="639"/>
      <c r="Z74" s="639"/>
      <c r="AA74" s="639"/>
      <c r="AB74" s="639"/>
      <c r="AC74" s="639"/>
      <c r="AD74" s="639"/>
      <c r="AE74" s="639"/>
      <c r="AF74" s="639"/>
      <c r="AG74" s="639"/>
      <c r="AH74" s="639"/>
      <c r="AI74" s="639"/>
      <c r="AJ74" s="639"/>
      <c r="AK74" s="639"/>
      <c r="AL74" s="639"/>
      <c r="AM74" s="639"/>
      <c r="AN74" s="639"/>
      <c r="AO74" s="639"/>
      <c r="AP74" s="639"/>
      <c r="AQ74" s="639"/>
      <c r="AR74" s="639"/>
      <c r="AS74" s="639"/>
      <c r="AT74" s="639"/>
      <c r="AU74" s="639"/>
      <c r="AV74" s="639"/>
      <c r="AW74" s="639"/>
      <c r="AX74" s="639"/>
      <c r="AY74" s="639"/>
      <c r="AZ74" s="639"/>
      <c r="BA74" s="639"/>
      <c r="BB74" s="639"/>
      <c r="BC74" s="639"/>
      <c r="BD74" s="639"/>
      <c r="BE74" s="639"/>
      <c r="BF74" s="639"/>
      <c r="BG74" s="639"/>
      <c r="BH74" s="639"/>
      <c r="BI74" s="639"/>
      <c r="BJ74" s="639"/>
      <c r="BK74" s="639"/>
      <c r="BL74" s="639"/>
      <c r="BM74" s="639"/>
      <c r="BN74" s="639"/>
      <c r="BO74" s="639"/>
      <c r="BP74" s="639"/>
      <c r="BQ74" s="639"/>
      <c r="BR74" s="639"/>
      <c r="BS74" s="639"/>
      <c r="BT74" s="639"/>
      <c r="BU74" s="639"/>
      <c r="BV74" s="639"/>
      <c r="BW74" s="639"/>
      <c r="BX74" s="639"/>
      <c r="BY74" s="639"/>
      <c r="BZ74" s="639"/>
      <c r="CA74" s="639"/>
      <c r="CB74" s="639"/>
      <c r="CC74" s="639"/>
      <c r="CD74" s="639"/>
      <c r="CE74" s="639"/>
    </row>
    <row r="75" spans="2:83" ht="12" thickBot="1">
      <c r="B75" s="114"/>
      <c r="C75" s="84"/>
    </row>
    <row r="76" spans="2:83" ht="13.15">
      <c r="B76" s="363" t="s">
        <v>266</v>
      </c>
      <c r="C76" s="338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39"/>
      <c r="AB76" s="339"/>
      <c r="AC76" s="339"/>
      <c r="AD76" s="339"/>
      <c r="AE76" s="339"/>
      <c r="AF76" s="339"/>
      <c r="AG76" s="339"/>
      <c r="AH76" s="339"/>
      <c r="AI76" s="339"/>
      <c r="AJ76" s="339"/>
      <c r="AK76" s="339"/>
      <c r="AL76" s="339"/>
      <c r="AM76" s="339"/>
      <c r="AN76" s="339"/>
      <c r="AO76" s="339"/>
      <c r="AP76" s="339"/>
      <c r="AQ76" s="339"/>
      <c r="AR76" s="339"/>
      <c r="AS76" s="339"/>
      <c r="AT76" s="339"/>
      <c r="AU76" s="339"/>
      <c r="AV76" s="339"/>
      <c r="AW76" s="339"/>
      <c r="AX76" s="339"/>
      <c r="AY76" s="339"/>
      <c r="AZ76" s="339"/>
      <c r="BA76" s="339"/>
      <c r="BB76" s="339"/>
      <c r="BC76" s="339"/>
      <c r="BD76" s="339"/>
      <c r="BE76" s="339"/>
      <c r="BF76" s="339"/>
      <c r="BG76" s="339"/>
      <c r="BH76" s="339"/>
      <c r="BI76" s="339"/>
      <c r="BJ76" s="339"/>
      <c r="BK76" s="339"/>
      <c r="BL76" s="339"/>
      <c r="BM76" s="339"/>
      <c r="BN76" s="339"/>
      <c r="BO76" s="339"/>
      <c r="BP76" s="339"/>
      <c r="BQ76" s="339"/>
      <c r="BR76" s="339"/>
      <c r="BS76" s="339"/>
      <c r="BT76" s="339"/>
      <c r="BU76" s="339"/>
      <c r="BV76" s="339"/>
      <c r="BW76" s="339"/>
      <c r="BX76" s="339"/>
      <c r="BY76" s="339"/>
      <c r="BZ76" s="339"/>
      <c r="CA76" s="339"/>
      <c r="CB76" s="339"/>
      <c r="CC76" s="339"/>
      <c r="CD76" s="339"/>
      <c r="CE76" s="339"/>
    </row>
    <row r="77" spans="2:83" ht="12.75">
      <c r="B77" s="293" t="s">
        <v>3</v>
      </c>
      <c r="C77" s="166"/>
      <c r="D77" s="182">
        <f>+IS!D9</f>
        <v>21191</v>
      </c>
      <c r="E77" s="182">
        <f>+IS!E9</f>
        <v>22190</v>
      </c>
      <c r="F77" s="182">
        <f>+IS!F9</f>
        <v>23382</v>
      </c>
      <c r="G77" s="182">
        <f>+IS!G9</f>
        <v>24657</v>
      </c>
      <c r="H77" s="182">
        <f>+IS!H9</f>
        <v>91420</v>
      </c>
      <c r="I77" s="182">
        <f>+IS!I9</f>
        <v>24883</v>
      </c>
      <c r="J77" s="182">
        <f>+IS!J9</f>
        <v>26291</v>
      </c>
      <c r="K77" s="182">
        <f>+IS!K9</f>
        <v>27749</v>
      </c>
      <c r="L77" s="182">
        <f>+IS!L9</f>
        <v>29039.000000000011</v>
      </c>
      <c r="M77" s="182">
        <f>+IS!M9</f>
        <v>107962.00000000001</v>
      </c>
      <c r="N77" s="182">
        <f>+IS!N9</f>
        <v>30356</v>
      </c>
      <c r="O77" s="182">
        <f>+IS!O9</f>
        <v>32302</v>
      </c>
      <c r="P77" s="182">
        <f>+IS!P9</f>
        <v>34348</v>
      </c>
      <c r="Q77" s="182">
        <f>+IS!Q9</f>
        <v>36573</v>
      </c>
      <c r="R77" s="182">
        <f>+IS!R9</f>
        <v>133579</v>
      </c>
      <c r="S77" s="182">
        <f>+IS!S9</f>
        <v>37493</v>
      </c>
      <c r="T77" s="182">
        <f>+IS!T9</f>
        <v>39877</v>
      </c>
      <c r="U77" s="182">
        <f>+IS!U9</f>
        <v>42469</v>
      </c>
      <c r="V77" s="182">
        <f>+IS!V9</f>
        <v>44445</v>
      </c>
      <c r="W77" s="182">
        <f>+IS!W9</f>
        <v>164284</v>
      </c>
      <c r="X77" s="182">
        <f>+IS!X9</f>
        <v>46248</v>
      </c>
      <c r="Y77" s="182">
        <f>+IS!Y9</f>
        <v>48466</v>
      </c>
      <c r="Z77" s="182">
        <f>+IS!Z9</f>
        <v>50987</v>
      </c>
      <c r="AA77" s="182">
        <f>+IS!AA9</f>
        <v>52224</v>
      </c>
      <c r="AB77" s="182">
        <f>+IS!AB9</f>
        <v>197925</v>
      </c>
      <c r="AC77" s="182">
        <f>+IS!AC9</f>
        <v>53121</v>
      </c>
      <c r="AD77" s="182">
        <f>+IS!AD9</f>
        <v>55302</v>
      </c>
      <c r="AE77" s="182">
        <f>+IS!AE9</f>
        <v>59490</v>
      </c>
      <c r="AF77" s="182">
        <f>+IS!AF9</f>
        <v>62915</v>
      </c>
      <c r="AG77" s="182">
        <f>+IS!AG9</f>
        <v>230828</v>
      </c>
      <c r="AH77" s="182">
        <f>+IS!AH9</f>
        <v>64878</v>
      </c>
      <c r="AI77" s="182">
        <f>+IS!AI9</f>
        <v>68153</v>
      </c>
      <c r="AJ77" s="182">
        <f>+IS!AJ9</f>
        <v>71658</v>
      </c>
      <c r="AK77" s="182">
        <f>+IS!AK9</f>
        <v>74200</v>
      </c>
      <c r="AL77" s="182">
        <f>+IS!AL9</f>
        <v>278889</v>
      </c>
      <c r="AM77" s="182">
        <f>+IS!AM9</f>
        <v>75343</v>
      </c>
      <c r="AN77" s="182">
        <f>+IS!AN9</f>
        <v>78929</v>
      </c>
      <c r="AO77" s="182">
        <f>+IS!AO9</f>
        <v>82671</v>
      </c>
      <c r="AP77" s="182">
        <f>+IS!AP9</f>
        <v>84664</v>
      </c>
      <c r="AQ77" s="182">
        <f>+IS!AQ9</f>
        <v>321607</v>
      </c>
      <c r="AR77" s="182">
        <f>+IS!AR9</f>
        <v>86263</v>
      </c>
      <c r="AS77" s="182">
        <f>+IS!AS9</f>
        <v>88830</v>
      </c>
      <c r="AT77" s="182">
        <f>+IS!AT9</f>
        <v>93069</v>
      </c>
      <c r="AU77" s="182">
        <f>+IS!AU9</f>
        <v>94801</v>
      </c>
      <c r="AV77" s="182">
        <f>+IS!AV9</f>
        <v>362963</v>
      </c>
      <c r="AW77" s="182">
        <f>+IS!AW9</f>
        <v>96756</v>
      </c>
      <c r="AX77" s="182">
        <f>+IS!AX9</f>
        <v>99702</v>
      </c>
      <c r="AY77" s="182">
        <f>+IS!AY9</f>
        <v>104934</v>
      </c>
      <c r="AZ77" s="182">
        <f>+IS!AZ9</f>
        <v>109780</v>
      </c>
      <c r="BA77" s="182">
        <f>+IS!BA9</f>
        <v>411172</v>
      </c>
      <c r="BB77" s="182">
        <f>+IS!BB9</f>
        <v>113420</v>
      </c>
      <c r="BC77" s="182">
        <f>+IS!BC9</f>
        <v>119893</v>
      </c>
      <c r="BD77" s="182">
        <f>+IS!BD9</f>
        <v>125561</v>
      </c>
      <c r="BE77" s="182">
        <f>+IS!BE9</f>
        <v>130849</v>
      </c>
      <c r="BF77" s="182">
        <f>+IS!BF9</f>
        <v>489723</v>
      </c>
      <c r="BG77" s="182">
        <f>+IS!BG9</f>
        <v>130683</v>
      </c>
      <c r="BH77" s="182">
        <f>+IS!BH9</f>
        <v>137209</v>
      </c>
      <c r="BI77" s="182">
        <f>+IS!BI9</f>
        <v>141996</v>
      </c>
      <c r="BJ77" s="182">
        <f>+IS!BJ9</f>
        <v>144570</v>
      </c>
      <c r="BK77" s="182">
        <f>+IS!BK9</f>
        <v>554458</v>
      </c>
      <c r="BL77" s="182">
        <f>+IS!BL9</f>
        <v>145805</v>
      </c>
      <c r="BM77" s="182">
        <f>+IS!BM9</f>
        <v>148708</v>
      </c>
      <c r="BN77" s="182">
        <f>+IS!BN9</f>
        <v>153867</v>
      </c>
      <c r="BO77" s="182">
        <f>+IS!BO9</f>
        <v>159191</v>
      </c>
      <c r="BP77" s="182">
        <f>+IS!BP9</f>
        <v>607571</v>
      </c>
      <c r="BQ77" s="182">
        <f>+IS!BQ9</f>
        <v>159899</v>
      </c>
      <c r="BR77" s="182">
        <f>+IS!BR9</f>
        <v>164062</v>
      </c>
      <c r="BS77" s="182">
        <f>+IS!BS9</f>
        <v>169882</v>
      </c>
      <c r="BT77" s="182">
        <f>+IS!BT9</f>
        <v>175282</v>
      </c>
      <c r="BU77" s="182">
        <f>+IS!BU9</f>
        <v>669125</v>
      </c>
      <c r="BV77" s="182">
        <f>+IS!BV9</f>
        <v>173490.41500000001</v>
      </c>
      <c r="BW77" s="182">
        <f>+IS!BW9</f>
        <v>177186.96000000002</v>
      </c>
      <c r="BX77" s="182">
        <f>+IS!BX9</f>
        <v>182623.15</v>
      </c>
      <c r="BY77" s="182">
        <f>+IS!BY9</f>
        <v>187551.74000000002</v>
      </c>
      <c r="BZ77" s="182">
        <f>+IS!BZ9</f>
        <v>720852.26500000013</v>
      </c>
      <c r="CA77" s="182">
        <f>+IS!CA9</f>
        <v>187369.64820000003</v>
      </c>
      <c r="CB77" s="182">
        <f>+IS!CB9</f>
        <v>189590.04720000003</v>
      </c>
      <c r="CC77" s="182">
        <f>+IS!CC9</f>
        <v>193580.53899999999</v>
      </c>
      <c r="CD77" s="182">
        <f>+IS!CD9</f>
        <v>198804.84440000003</v>
      </c>
      <c r="CE77" s="182">
        <f>+IS!CE9</f>
        <v>769345.07880000013</v>
      </c>
    </row>
    <row r="78" spans="2:83" ht="12.75">
      <c r="B78" s="273" t="s">
        <v>128</v>
      </c>
      <c r="C78" s="166"/>
      <c r="D78" s="340"/>
      <c r="E78" s="340"/>
      <c r="F78" s="340"/>
      <c r="G78" s="340"/>
      <c r="H78" s="340"/>
      <c r="I78" s="306">
        <f>+I77/D77-1</f>
        <v>0.17422490680005653</v>
      </c>
      <c r="J78" s="306">
        <f>+J77/E77-1</f>
        <v>0.18481297881928804</v>
      </c>
      <c r="K78" s="306">
        <f t="shared" ref="K78:AB78" si="222">+K77/F77-1</f>
        <v>0.18676759900778372</v>
      </c>
      <c r="L78" s="306">
        <f t="shared" si="222"/>
        <v>0.17771829500750336</v>
      </c>
      <c r="M78" s="306">
        <f t="shared" si="222"/>
        <v>0.18094508860205649</v>
      </c>
      <c r="N78" s="306">
        <f t="shared" si="222"/>
        <v>0.21994936301892865</v>
      </c>
      <c r="O78" s="306">
        <f t="shared" si="222"/>
        <v>0.22863337263702399</v>
      </c>
      <c r="P78" s="306">
        <f t="shared" si="222"/>
        <v>0.23781037154492046</v>
      </c>
      <c r="Q78" s="306">
        <f t="shared" si="222"/>
        <v>0.25944419573676725</v>
      </c>
      <c r="R78" s="306">
        <f t="shared" si="222"/>
        <v>0.23727793112391371</v>
      </c>
      <c r="S78" s="306">
        <f t="shared" si="222"/>
        <v>0.23511002767163003</v>
      </c>
      <c r="T78" s="306">
        <f t="shared" si="222"/>
        <v>0.23450560336821247</v>
      </c>
      <c r="U78" s="306">
        <f t="shared" si="222"/>
        <v>0.23643298008617686</v>
      </c>
      <c r="V78" s="306">
        <f t="shared" si="222"/>
        <v>0.21524075137396448</v>
      </c>
      <c r="W78" s="306">
        <f t="shared" si="222"/>
        <v>0.22986397562491101</v>
      </c>
      <c r="X78" s="306">
        <f t="shared" si="222"/>
        <v>0.23351025524764624</v>
      </c>
      <c r="Y78" s="306">
        <f t="shared" si="222"/>
        <v>0.21538731599668992</v>
      </c>
      <c r="Z78" s="306">
        <f t="shared" si="222"/>
        <v>0.20056982740351792</v>
      </c>
      <c r="AA78" s="306">
        <f t="shared" si="222"/>
        <v>0.17502531218359763</v>
      </c>
      <c r="AB78" s="306">
        <f t="shared" si="222"/>
        <v>0.20477344111416818</v>
      </c>
      <c r="AC78" s="306">
        <f t="shared" ref="AC78:AL78" si="223">+AC77/X77-1</f>
        <v>0.14861183186299942</v>
      </c>
      <c r="AD78" s="306">
        <f t="shared" si="223"/>
        <v>0.14104733215037335</v>
      </c>
      <c r="AE78" s="306">
        <f t="shared" si="223"/>
        <v>0.1667679996861946</v>
      </c>
      <c r="AF78" s="306">
        <f t="shared" si="223"/>
        <v>0.20471430759803932</v>
      </c>
      <c r="AG78" s="306">
        <f t="shared" si="223"/>
        <v>0.16623973727421992</v>
      </c>
      <c r="AH78" s="306">
        <f t="shared" si="223"/>
        <v>0.22132489975715819</v>
      </c>
      <c r="AI78" s="306">
        <f t="shared" si="223"/>
        <v>0.23237857582004273</v>
      </c>
      <c r="AJ78" s="306">
        <f t="shared" si="223"/>
        <v>0.20453857791225416</v>
      </c>
      <c r="AK78" s="306">
        <f t="shared" si="223"/>
        <v>0.17936898990701744</v>
      </c>
      <c r="AL78" s="306">
        <f t="shared" si="223"/>
        <v>0.20821130885334527</v>
      </c>
      <c r="AM78" s="306">
        <f t="shared" ref="AM78" si="224">+AM77/AH77-1</f>
        <v>0.16130275285921258</v>
      </c>
      <c r="AN78" s="306">
        <f t="shared" ref="AN78" si="225">+AN77/AI77-1</f>
        <v>0.158114829868091</v>
      </c>
      <c r="AO78" s="306">
        <f t="shared" ref="AO78" si="226">+AO77/AJ77-1</f>
        <v>0.1536883530101314</v>
      </c>
      <c r="AP78" s="306">
        <f t="shared" ref="AP78" si="227">+AP77/AK77-1</f>
        <v>0.14102425876010782</v>
      </c>
      <c r="AQ78" s="306">
        <f t="shared" ref="AQ78" si="228">+AQ77/AL77-1</f>
        <v>0.15317205052906346</v>
      </c>
      <c r="AR78" s="306">
        <f t="shared" ref="AR78" si="229">+AR77/AM77-1</f>
        <v>0.14493715408199837</v>
      </c>
      <c r="AS78" s="306">
        <f t="shared" ref="AS78" si="230">+AS77/AN77-1</f>
        <v>0.12544185280441922</v>
      </c>
      <c r="AT78" s="306">
        <f t="shared" ref="AT78" si="231">+AT77/AO77-1</f>
        <v>0.12577566498530324</v>
      </c>
      <c r="AU78" s="306">
        <f t="shared" ref="AU78" si="232">+AU77/AP77-1</f>
        <v>0.11973211754700941</v>
      </c>
      <c r="AV78" s="306">
        <f t="shared" ref="AV78" si="233">+AV77/AQ77-1</f>
        <v>0.12859172841387156</v>
      </c>
      <c r="AW78" s="306">
        <f t="shared" ref="AW78" si="234">+AW77/AR77-1</f>
        <v>0.12163963692428958</v>
      </c>
      <c r="AX78" s="306">
        <f t="shared" ref="AX78:AY78" si="235">+AX77/AS77-1</f>
        <v>0.12239108409321164</v>
      </c>
      <c r="AY78" s="306">
        <f t="shared" si="235"/>
        <v>0.12748605873061924</v>
      </c>
      <c r="AZ78" s="306">
        <f t="shared" ref="AZ78" si="236">+AZ77/AU77-1</f>
        <v>0.15800466239807598</v>
      </c>
      <c r="BA78" s="306">
        <f t="shared" ref="BA78" si="237">+BA77/AV77-1</f>
        <v>0.13282070073258145</v>
      </c>
      <c r="BB78" s="306">
        <f t="shared" ref="BB78" si="238">+BB77/AW77-1</f>
        <v>0.17222704535119271</v>
      </c>
      <c r="BC78" s="306">
        <f t="shared" ref="BC78" si="239">+BC77/AX77-1</f>
        <v>0.20251349020079834</v>
      </c>
      <c r="BD78" s="306">
        <f t="shared" ref="BD78" si="240">+BD77/AY77-1</f>
        <v>0.19657117807383684</v>
      </c>
      <c r="BE78" s="306">
        <f t="shared" ref="BE78" si="241">+BE77/AZ77-1</f>
        <v>0.19192020404445254</v>
      </c>
      <c r="BF78" s="306">
        <f t="shared" ref="BF78" si="242">+BF77/BA77-1</f>
        <v>0.19104170517447683</v>
      </c>
      <c r="BG78" s="306">
        <f t="shared" ref="BG78" si="243">+BG77/BB77-1</f>
        <v>0.15220419679068953</v>
      </c>
      <c r="BH78" s="306">
        <f t="shared" ref="BH78" si="244">+BH77/BC77-1</f>
        <v>0.14442878233091183</v>
      </c>
      <c r="BI78" s="306">
        <f t="shared" ref="BI78" si="245">+BI77/BD77-1</f>
        <v>0.13089255421667545</v>
      </c>
      <c r="BJ78" s="306">
        <f t="shared" ref="BJ78" si="246">+BJ77/BE77-1</f>
        <v>0.1048613287071356</v>
      </c>
      <c r="BK78" s="306">
        <f t="shared" ref="BK78" si="247">+BK77/BF77-1</f>
        <v>0.13218697100197452</v>
      </c>
      <c r="BL78" s="306">
        <f t="shared" ref="BL78" si="248">+BL77/BG77-1</f>
        <v>0.11571512744580392</v>
      </c>
      <c r="BM78" s="306">
        <f t="shared" ref="BM78" si="249">+BM77/BH77-1</f>
        <v>8.3806455844733119E-2</v>
      </c>
      <c r="BN78" s="306">
        <f t="shared" ref="BN78" si="250">+BN77/BI77-1</f>
        <v>8.3600946505535401E-2</v>
      </c>
      <c r="BO78" s="306">
        <f t="shared" ref="BO78" si="251">+BO77/BJ77-1</f>
        <v>0.1011343985612505</v>
      </c>
      <c r="BP78" s="306">
        <f t="shared" ref="BP78:BQ78" si="252">+BP77/BK77-1</f>
        <v>9.5792647955300403E-2</v>
      </c>
      <c r="BQ78" s="306">
        <f t="shared" si="252"/>
        <v>9.6663351736908876E-2</v>
      </c>
      <c r="BR78" s="306">
        <f t="shared" ref="BR78:BS78" si="253">+BR77/BM77-1</f>
        <v>0.10324932081663385</v>
      </c>
      <c r="BS78" s="306">
        <f t="shared" si="253"/>
        <v>0.1040833966997472</v>
      </c>
      <c r="BT78" s="306">
        <f t="shared" ref="BT78" si="254">+BT77/BO77-1</f>
        <v>0.10107983491529038</v>
      </c>
      <c r="BU78" s="306">
        <f t="shared" ref="BU78" si="255">+BU77/BP77-1</f>
        <v>0.10131161625554874</v>
      </c>
      <c r="BV78" s="306">
        <f t="shared" ref="BV78" si="256">+BV77/BQ77-1</f>
        <v>8.4999999999999964E-2</v>
      </c>
      <c r="BW78" s="306">
        <f t="shared" ref="BW78" si="257">+BW77/BR77-1</f>
        <v>8.0000000000000071E-2</v>
      </c>
      <c r="BX78" s="306">
        <f t="shared" ref="BX78" si="258">+BX77/BS77-1</f>
        <v>7.4999999999999956E-2</v>
      </c>
      <c r="BY78" s="306">
        <f t="shared" ref="BY78" si="259">+BY77/BT77-1</f>
        <v>7.0000000000000062E-2</v>
      </c>
      <c r="BZ78" s="306">
        <f t="shared" ref="BZ78" si="260">+BZ77/BU77-1</f>
        <v>7.7305832243601991E-2</v>
      </c>
      <c r="CA78" s="306">
        <f t="shared" ref="CA78" si="261">+CA77/BV77-1</f>
        <v>8.0000000000000071E-2</v>
      </c>
      <c r="CB78" s="306">
        <f t="shared" ref="CB78" si="262">+CB77/BW77-1</f>
        <v>7.0000000000000062E-2</v>
      </c>
      <c r="CC78" s="306">
        <f t="shared" ref="CC78" si="263">+CC77/BX77-1</f>
        <v>6.0000000000000053E-2</v>
      </c>
      <c r="CD78" s="306">
        <f t="shared" ref="CD78" si="264">+CD77/BY77-1</f>
        <v>6.0000000000000053E-2</v>
      </c>
      <c r="CE78" s="306">
        <f t="shared" ref="CE78" si="265">+CE77/BZ77-1</f>
        <v>6.7271500908719473E-2</v>
      </c>
    </row>
    <row r="79" spans="2:83" ht="12.75">
      <c r="B79" s="273" t="s">
        <v>129</v>
      </c>
      <c r="C79" s="166"/>
      <c r="D79" s="306"/>
      <c r="E79" s="306">
        <f>+E77/D77-1</f>
        <v>4.7142654900665271E-2</v>
      </c>
      <c r="F79" s="306">
        <f>+F77/E77-1</f>
        <v>5.3717890941865631E-2</v>
      </c>
      <c r="G79" s="306">
        <f>+G77/F77-1</f>
        <v>5.4529124967924059E-2</v>
      </c>
      <c r="H79" s="306"/>
      <c r="I79" s="306">
        <f>+I77/G77-1</f>
        <v>9.1657541468954662E-3</v>
      </c>
      <c r="J79" s="306">
        <f>+J77/I77-1</f>
        <v>5.6584816943294536E-2</v>
      </c>
      <c r="K79" s="306">
        <f>+K77/J77-1</f>
        <v>5.5456239777870842E-2</v>
      </c>
      <c r="L79" s="306">
        <f>+L77/K77-1</f>
        <v>4.6488161735558364E-2</v>
      </c>
      <c r="M79" s="306"/>
      <c r="N79" s="306">
        <f>+N77/L77-1</f>
        <v>4.5352801405006637E-2</v>
      </c>
      <c r="O79" s="306">
        <f>+O77/N77-1</f>
        <v>6.4105942811964578E-2</v>
      </c>
      <c r="P79" s="306">
        <f>+P77/O77-1</f>
        <v>6.3339731285988465E-2</v>
      </c>
      <c r="Q79" s="306">
        <f>+Q77/P77-1</f>
        <v>6.4778153022009954E-2</v>
      </c>
      <c r="R79" s="306"/>
      <c r="S79" s="306">
        <f>+S77/Q77-1</f>
        <v>2.5155169113827203E-2</v>
      </c>
      <c r="T79" s="306">
        <f>+T77/S77-1</f>
        <v>6.3585202571146526E-2</v>
      </c>
      <c r="U79" s="306">
        <f>+U77/T77-1</f>
        <v>6.4999874614439346E-2</v>
      </c>
      <c r="V79" s="306">
        <f>+V77/U77-1</f>
        <v>4.6528055758317866E-2</v>
      </c>
      <c r="W79" s="306"/>
      <c r="X79" s="306">
        <f>+X77/V77-1</f>
        <v>4.0566992912588695E-2</v>
      </c>
      <c r="Y79" s="306">
        <f>+Y77/X77-1</f>
        <v>4.7958830652136353E-2</v>
      </c>
      <c r="Z79" s="306">
        <f>+Z77/Y77-1</f>
        <v>5.2015846160194723E-2</v>
      </c>
      <c r="AA79" s="306">
        <f>+AA77/Z77-1</f>
        <v>2.426108615921696E-2</v>
      </c>
      <c r="AB79" s="306"/>
      <c r="AC79" s="306">
        <f>+AC77/AA77-1</f>
        <v>1.7176011029411686E-2</v>
      </c>
      <c r="AD79" s="306">
        <f>+AD77/AC77-1</f>
        <v>4.1057209013384499E-2</v>
      </c>
      <c r="AE79" s="306">
        <f>+AE77/AD77-1</f>
        <v>7.5729630031463602E-2</v>
      </c>
      <c r="AF79" s="306">
        <f>+AF77/AE77-1</f>
        <v>5.7572701294335227E-2</v>
      </c>
      <c r="AG79" s="306"/>
      <c r="AH79" s="306">
        <f>+AH77/AF77-1</f>
        <v>3.1200826511960544E-2</v>
      </c>
      <c r="AI79" s="306">
        <f>+AI77/AH77-1</f>
        <v>5.0479361262677713E-2</v>
      </c>
      <c r="AJ79" s="306">
        <f>+AJ77/AI77-1</f>
        <v>5.1428403738646766E-2</v>
      </c>
      <c r="AK79" s="306">
        <f>+AK77/AJ77-1</f>
        <v>3.5474057327862907E-2</v>
      </c>
      <c r="AL79" s="306"/>
      <c r="AM79" s="306">
        <f>+AM77/AK77-1</f>
        <v>1.5404312668463538E-2</v>
      </c>
      <c r="AN79" s="306">
        <f>+AN77/AM77-1</f>
        <v>4.7595662503484126E-2</v>
      </c>
      <c r="AO79" s="306">
        <f>+AO77/AN77-1</f>
        <v>4.740969732291056E-2</v>
      </c>
      <c r="AP79" s="306">
        <f>+AP77/AO77-1</f>
        <v>2.410760726252259E-2</v>
      </c>
      <c r="AQ79" s="306"/>
      <c r="AR79" s="306">
        <f>+AR77/AP77-1</f>
        <v>1.8886421619578542E-2</v>
      </c>
      <c r="AS79" s="306">
        <f>+AS77/AR77-1</f>
        <v>2.9757833601891992E-2</v>
      </c>
      <c r="AT79" s="306">
        <f>+AT77/AS77-1</f>
        <v>4.7720364741641319E-2</v>
      </c>
      <c r="AU79" s="306">
        <f>+AU77/AT77-1</f>
        <v>1.8609848606947477E-2</v>
      </c>
      <c r="AV79" s="306"/>
      <c r="AW79" s="306">
        <f>+AW77/AU77-1</f>
        <v>2.0622145336019582E-2</v>
      </c>
      <c r="AX79" s="306">
        <f>+AX77/AW77-1</f>
        <v>3.0447724172144364E-2</v>
      </c>
      <c r="AY79" s="306">
        <f>+AY77/AX77-1</f>
        <v>5.2476379611241519E-2</v>
      </c>
      <c r="AZ79" s="306">
        <f>+AZ77/AY77-1</f>
        <v>4.6181409266777163E-2</v>
      </c>
      <c r="BA79" s="306"/>
      <c r="BB79" s="306">
        <f>+BB77/AZ77-1</f>
        <v>3.3157223537985114E-2</v>
      </c>
      <c r="BC79" s="306">
        <f>+BC77/BB77-1</f>
        <v>5.7071063304531933E-2</v>
      </c>
      <c r="BD79" s="306">
        <f>+BD77/BC77-1</f>
        <v>4.7275487309517583E-2</v>
      </c>
      <c r="BE79" s="306">
        <f>+BE77/BD77-1</f>
        <v>4.2114987934151582E-2</v>
      </c>
      <c r="BF79" s="306"/>
      <c r="BG79" s="306">
        <f>+BG77/BE77-1</f>
        <v>-1.2686378955896194E-3</v>
      </c>
      <c r="BH79" s="306">
        <f>+BH77/BG77-1</f>
        <v>4.9937635346602116E-2</v>
      </c>
      <c r="BI79" s="306">
        <f>+BI77/BH77-1</f>
        <v>3.4888381957451697E-2</v>
      </c>
      <c r="BJ79" s="306">
        <f>+BJ77/BI77-1</f>
        <v>1.812727119073787E-2</v>
      </c>
      <c r="BK79" s="306"/>
      <c r="BL79" s="306">
        <f>+BL77/BJ77-1</f>
        <v>8.5425745313689738E-3</v>
      </c>
      <c r="BM79" s="306">
        <f>+BM77/BL77-1</f>
        <v>1.991015397277196E-2</v>
      </c>
      <c r="BN79" s="306">
        <f>+BN77/BM77-1</f>
        <v>3.4692148371304743E-2</v>
      </c>
      <c r="BO79" s="306">
        <f>+BO77/BN77-1</f>
        <v>3.4601311522288736E-2</v>
      </c>
      <c r="BP79" s="306"/>
      <c r="BQ79" s="306">
        <f>+BQ77/BO77-1</f>
        <v>4.4474876092241988E-3</v>
      </c>
      <c r="BR79" s="306">
        <f>+BR77/BQ77-1</f>
        <v>2.603518471034838E-2</v>
      </c>
      <c r="BS79" s="306">
        <f>+BS77/BR77-1</f>
        <v>3.5474393826724127E-2</v>
      </c>
      <c r="BT79" s="306">
        <f>+BT77/BS77-1</f>
        <v>3.1786769640103074E-2</v>
      </c>
      <c r="BU79" s="306"/>
      <c r="BV79" s="306">
        <f>+BV77/BT77-1</f>
        <v>-1.0221157905546452E-2</v>
      </c>
      <c r="BW79" s="306">
        <f>+BW77/BV77-1</f>
        <v>2.1306911969747766E-2</v>
      </c>
      <c r="BX79" s="306">
        <f>+BX77/BW77-1</f>
        <v>3.0680530892340796E-2</v>
      </c>
      <c r="BY79" s="306">
        <f>+BY77/BX77-1</f>
        <v>2.6987761409219102E-2</v>
      </c>
      <c r="BZ79" s="306"/>
      <c r="CA79" s="306">
        <f>+CA77/BY77-1</f>
        <v>-9.7088835326186729E-4</v>
      </c>
      <c r="CB79" s="306">
        <f>+CB77/CA77-1</f>
        <v>1.1850366488546316E-2</v>
      </c>
      <c r="CC79" s="306">
        <f>+CC77/CB77-1</f>
        <v>2.1048002566244284E-2</v>
      </c>
      <c r="CD79" s="306">
        <f>+CD77/CC77-1</f>
        <v>2.6987761409219102E-2</v>
      </c>
      <c r="CE79" s="306"/>
    </row>
    <row r="80" spans="2:83" ht="13.15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  <c r="AB80" s="170"/>
      <c r="AC80" s="170"/>
      <c r="AD80" s="170"/>
      <c r="AE80" s="170"/>
      <c r="AF80" s="170"/>
      <c r="AG80" s="170"/>
      <c r="AH80" s="170"/>
      <c r="AI80" s="170"/>
      <c r="AJ80" s="170"/>
      <c r="AK80" s="170"/>
      <c r="AL80" s="170"/>
      <c r="AM80" s="170"/>
      <c r="AN80" s="170"/>
      <c r="AO80" s="170"/>
      <c r="AP80" s="170"/>
      <c r="AQ80" s="170"/>
      <c r="AR80" s="170"/>
      <c r="AS80" s="170"/>
      <c r="AT80" s="170"/>
      <c r="AU80" s="170"/>
      <c r="AV80" s="170"/>
      <c r="AW80" s="170"/>
      <c r="AX80" s="170"/>
      <c r="AY80" s="170"/>
      <c r="AZ80" s="170"/>
      <c r="BA80" s="170"/>
      <c r="BB80" s="170"/>
      <c r="BC80" s="170"/>
      <c r="BD80" s="170"/>
      <c r="BE80" s="170"/>
      <c r="BF80" s="170"/>
      <c r="BG80" s="170"/>
      <c r="BH80" s="170"/>
      <c r="BI80" s="170"/>
      <c r="BJ80" s="170"/>
      <c r="BK80" s="170"/>
      <c r="BL80" s="170"/>
      <c r="BM80" s="170"/>
      <c r="BN80" s="170"/>
      <c r="BO80" s="170"/>
      <c r="BP80" s="170"/>
      <c r="BQ80" s="170"/>
      <c r="BR80" s="170"/>
      <c r="BS80" s="170"/>
      <c r="BT80" s="170"/>
      <c r="BU80" s="170"/>
      <c r="BV80" s="170"/>
      <c r="BW80" s="170"/>
      <c r="BX80" s="170"/>
      <c r="BY80" s="170"/>
      <c r="BZ80" s="170"/>
      <c r="CA80" s="170"/>
      <c r="CB80" s="170"/>
      <c r="CC80" s="170"/>
      <c r="CD80" s="170"/>
      <c r="CE80" s="170"/>
    </row>
    <row r="81" spans="2:83" ht="12.75">
      <c r="B81" s="293" t="s">
        <v>138</v>
      </c>
      <c r="C81" s="166"/>
      <c r="D81" s="182">
        <f>+'Billings &amp; Recs'!D94</f>
        <v>2296</v>
      </c>
      <c r="E81" s="182">
        <f>+'Billings &amp; Recs'!E94</f>
        <v>2462</v>
      </c>
      <c r="F81" s="182">
        <f>+'Billings &amp; Recs'!F94</f>
        <v>4599</v>
      </c>
      <c r="G81" s="182">
        <f>+'Billings &amp; Recs'!G94</f>
        <v>4441</v>
      </c>
      <c r="H81" s="182">
        <f>+'Billings &amp; Recs'!H94</f>
        <v>13798</v>
      </c>
      <c r="I81" s="182">
        <f>+'Billings &amp; Recs'!I94</f>
        <v>2795</v>
      </c>
      <c r="J81" s="182">
        <f>+'Billings &amp; Recs'!J94</f>
        <v>4475</v>
      </c>
      <c r="K81" s="182">
        <f>+'Billings &amp; Recs'!K94</f>
        <v>3302</v>
      </c>
      <c r="L81" s="182">
        <f>+'Billings &amp; Recs'!L94</f>
        <v>6855</v>
      </c>
      <c r="M81" s="182">
        <f>+'Billings &amp; Recs'!M94</f>
        <v>17427</v>
      </c>
      <c r="N81" s="182">
        <f>+'Billings &amp; Recs'!N94</f>
        <v>4670</v>
      </c>
      <c r="O81" s="182">
        <f>+'Billings &amp; Recs'!O94</f>
        <v>7247</v>
      </c>
      <c r="P81" s="182">
        <f>+'Billings &amp; Recs'!P94</f>
        <v>9045</v>
      </c>
      <c r="Q81" s="182">
        <f>+'Billings &amp; Recs'!Q94</f>
        <v>10731</v>
      </c>
      <c r="R81" s="182">
        <f>+'Billings &amp; Recs'!R94</f>
        <v>31693</v>
      </c>
      <c r="S81" s="182">
        <f>+'Billings &amp; Recs'!S94</f>
        <v>11977</v>
      </c>
      <c r="T81" s="182">
        <f>+'Billings &amp; Recs'!T94</f>
        <v>13098</v>
      </c>
      <c r="U81" s="182">
        <f>+'Billings &amp; Recs'!U94</f>
        <v>15137</v>
      </c>
      <c r="V81" s="182">
        <f>+'Billings &amp; Recs'!V94</f>
        <v>16448</v>
      </c>
      <c r="W81" s="182">
        <f>+'Billings &amp; Recs'!W94</f>
        <v>56660</v>
      </c>
      <c r="X81" s="182">
        <f>+'Billings &amp; Recs'!X94</f>
        <v>16128</v>
      </c>
      <c r="Y81" s="182">
        <f>+'Billings &amp; Recs'!Y94</f>
        <v>15744</v>
      </c>
      <c r="Z81" s="182">
        <f>+'Billings &amp; Recs'!Z94</f>
        <v>17626</v>
      </c>
      <c r="AA81" s="182">
        <f>+'Billings &amp; Recs'!AA94</f>
        <v>18468</v>
      </c>
      <c r="AB81" s="182">
        <f>+'Billings &amp; Recs'!AB94</f>
        <v>67966</v>
      </c>
      <c r="AC81" s="182">
        <f>+'Billings &amp; Recs'!AC94</f>
        <v>16808</v>
      </c>
      <c r="AD81" s="182">
        <f>+'Billings &amp; Recs'!AD94</f>
        <v>20419</v>
      </c>
      <c r="AE81" s="182">
        <f>+'Billings &amp; Recs'!AE94</f>
        <v>23863</v>
      </c>
      <c r="AF81" s="182">
        <f>+'Billings &amp; Recs'!AF94</f>
        <v>23842</v>
      </c>
      <c r="AG81" s="182">
        <f>+'Billings &amp; Recs'!AG94</f>
        <v>84932</v>
      </c>
      <c r="AH81" s="182">
        <f>+'Billings &amp; Recs'!AH94</f>
        <v>24618</v>
      </c>
      <c r="AI81" s="182">
        <f>+'Billings &amp; Recs'!AI94</f>
        <v>26734</v>
      </c>
      <c r="AJ81" s="182">
        <f>+'Billings &amp; Recs'!AJ94</f>
        <v>31888</v>
      </c>
      <c r="AK81" s="182">
        <f>+'Billings &amp; Recs'!AK94</f>
        <v>29141</v>
      </c>
      <c r="AL81" s="182">
        <f>+'Billings &amp; Recs'!AL94</f>
        <v>112381</v>
      </c>
      <c r="AM81" s="182">
        <f>+'Billings &amp; Recs'!AM94</f>
        <v>30625</v>
      </c>
      <c r="AN81" s="182">
        <f>+'Billings &amp; Recs'!AN94</f>
        <v>33376</v>
      </c>
      <c r="AO81" s="182">
        <f>+'Billings &amp; Recs'!AO94</f>
        <v>38609</v>
      </c>
      <c r="AP81" s="182">
        <f>+'Billings &amp; Recs'!AP94</f>
        <v>37574</v>
      </c>
      <c r="AQ81" s="182">
        <f>+'Billings &amp; Recs'!AQ94</f>
        <v>139599</v>
      </c>
      <c r="AR81" s="182">
        <f>+'Billings &amp; Recs'!AR94</f>
        <v>38175</v>
      </c>
      <c r="AS81" s="182">
        <f>+'Billings &amp; Recs'!AS94</f>
        <v>42838</v>
      </c>
      <c r="AT81" s="182">
        <f>+'Billings &amp; Recs'!AT94</f>
        <v>45134</v>
      </c>
      <c r="AU81" s="182">
        <f>+'Billings &amp; Recs'!AU94</f>
        <v>43386</v>
      </c>
      <c r="AV81" s="182">
        <f>+'Billings &amp; Recs'!AV94</f>
        <v>169503</v>
      </c>
      <c r="AW81" s="182">
        <f>+'Billings &amp; Recs'!AW94</f>
        <v>44575</v>
      </c>
      <c r="AX81" s="182">
        <f>+'Billings &amp; Recs'!AX94</f>
        <v>46706</v>
      </c>
      <c r="AY81" s="182">
        <f>+'Billings &amp; Recs'!AY94</f>
        <v>50323</v>
      </c>
      <c r="AZ81" s="182">
        <f>+'Billings &amp; Recs'!AZ94</f>
        <v>49555</v>
      </c>
      <c r="BA81" s="182">
        <f>+'Billings &amp; Recs'!BA94</f>
        <v>191159</v>
      </c>
      <c r="BB81" s="182">
        <f>+'Billings &amp; Recs'!BB94</f>
        <v>54262</v>
      </c>
      <c r="BC81" s="182">
        <f>+'Billings &amp; Recs'!BC94</f>
        <v>54384</v>
      </c>
      <c r="BD81" s="182">
        <f>+'Billings &amp; Recs'!BD94</f>
        <v>54858</v>
      </c>
      <c r="BE81" s="182">
        <f>+'Billings &amp; Recs'!BE94</f>
        <v>55074</v>
      </c>
      <c r="BF81" s="182">
        <f>+'Billings &amp; Recs'!BF94</f>
        <v>218577</v>
      </c>
      <c r="BG81" s="182">
        <f>+'Billings &amp; Recs'!BG94</f>
        <v>58655</v>
      </c>
      <c r="BH81" s="182">
        <f>+'Billings &amp; Recs'!BH94</f>
        <v>65834</v>
      </c>
      <c r="BI81" s="182">
        <f>+'Billings &amp; Recs'!BI94</f>
        <v>68811</v>
      </c>
      <c r="BJ81" s="182">
        <f>+'Billings &amp; Recs'!BJ94</f>
        <v>65839</v>
      </c>
      <c r="BK81" s="182">
        <f>+'Billings &amp; Recs'!BK94</f>
        <v>259139</v>
      </c>
      <c r="BL81" s="182">
        <f>+'Billings &amp; Recs'!BL94</f>
        <v>69031</v>
      </c>
      <c r="BM81" s="182">
        <f>+'Billings &amp; Recs'!BM94</f>
        <v>69934</v>
      </c>
      <c r="BN81" s="182">
        <f>+'Billings &amp; Recs'!BN94</f>
        <v>69682</v>
      </c>
      <c r="BO81" s="182">
        <f>+'Billings &amp; Recs'!BO94</f>
        <v>74195</v>
      </c>
      <c r="BP81" s="182">
        <f>+'Billings &amp; Recs'!BP94</f>
        <v>282842</v>
      </c>
      <c r="BQ81" s="182">
        <f>+'Billings &amp; Recs'!BQ94</f>
        <v>74752</v>
      </c>
      <c r="BR81" s="182">
        <f>+'Billings &amp; Recs'!BR94</f>
        <v>73431</v>
      </c>
      <c r="BS81" s="182">
        <f>+'Billings &amp; Recs'!BS94</f>
        <v>82600</v>
      </c>
      <c r="BT81" s="182">
        <f>+'Billings &amp; Recs'!BT94</f>
        <v>82626</v>
      </c>
      <c r="BU81" s="182">
        <f>+'Billings &amp; Recs'!BU94</f>
        <v>313409</v>
      </c>
      <c r="BV81" s="182">
        <f>+'Billings &amp; Recs'!BV94</f>
        <v>78517.658600000024</v>
      </c>
      <c r="BW81" s="182">
        <f>+'Billings &amp; Recs'!BW94</f>
        <v>77445.420484750037</v>
      </c>
      <c r="BX81" s="182">
        <f>+'Billings &amp; Recs'!BX94</f>
        <v>78557.458562024985</v>
      </c>
      <c r="BY81" s="182">
        <f>+'Billings &amp; Recs'!BY94</f>
        <v>78607.041528722519</v>
      </c>
      <c r="BZ81" s="182">
        <f>+'Billings &amp; Recs'!BZ94</f>
        <v>313127.57917549764</v>
      </c>
      <c r="CA81" s="182">
        <f>+'Billings &amp; Recs'!CA94</f>
        <v>81945.616667382405</v>
      </c>
      <c r="CB81" s="182">
        <f>+'Billings &amp; Recs'!CB94</f>
        <v>83440.806869978784</v>
      </c>
      <c r="CC81" s="182">
        <f>+'Billings &amp; Recs'!CC94</f>
        <v>86013.681766319394</v>
      </c>
      <c r="CD81" s="182">
        <f>+'Billings &amp; Recs'!CD94</f>
        <v>90164.232010316875</v>
      </c>
      <c r="CE81" s="182">
        <f>+'Billings &amp; Recs'!CE94</f>
        <v>341564.33731399744</v>
      </c>
    </row>
    <row r="82" spans="2:83" ht="12.75">
      <c r="B82" s="273" t="s">
        <v>128</v>
      </c>
      <c r="C82" s="166"/>
      <c r="D82" s="340"/>
      <c r="E82" s="340"/>
      <c r="F82" s="340"/>
      <c r="G82" s="340"/>
      <c r="H82" s="340"/>
      <c r="I82" s="306">
        <f>+I81/D81-1</f>
        <v>0.21733449477351918</v>
      </c>
      <c r="J82" s="306">
        <f t="shared" ref="J82:AB82" si="266">+J81/E81-1</f>
        <v>0.81762794476035738</v>
      </c>
      <c r="K82" s="306">
        <f t="shared" si="266"/>
        <v>-0.28201782996303548</v>
      </c>
      <c r="L82" s="306">
        <f t="shared" si="266"/>
        <v>0.54357126773249265</v>
      </c>
      <c r="M82" s="306">
        <f t="shared" si="266"/>
        <v>0.26300913175822593</v>
      </c>
      <c r="N82" s="306">
        <f t="shared" si="266"/>
        <v>0.67084078711985695</v>
      </c>
      <c r="O82" s="306">
        <f t="shared" si="266"/>
        <v>0.61944134078212287</v>
      </c>
      <c r="P82" s="306">
        <f t="shared" si="266"/>
        <v>1.7392489400363416</v>
      </c>
      <c r="Q82" s="306">
        <f t="shared" si="266"/>
        <v>0.56542669584245075</v>
      </c>
      <c r="R82" s="306">
        <f t="shared" si="266"/>
        <v>0.81861479313708618</v>
      </c>
      <c r="S82" s="306">
        <f t="shared" si="266"/>
        <v>1.5646680942184155</v>
      </c>
      <c r="T82" s="306">
        <f t="shared" si="266"/>
        <v>0.8073685663032979</v>
      </c>
      <c r="U82" s="306">
        <f t="shared" si="266"/>
        <v>0.67352128247650644</v>
      </c>
      <c r="V82" s="306">
        <f t="shared" si="266"/>
        <v>0.53275556798061685</v>
      </c>
      <c r="W82" s="306">
        <f t="shared" si="266"/>
        <v>0.78777648061086047</v>
      </c>
      <c r="X82" s="306">
        <f t="shared" si="266"/>
        <v>0.34658094681472829</v>
      </c>
      <c r="Y82" s="306">
        <f t="shared" si="266"/>
        <v>0.20201557489693078</v>
      </c>
      <c r="Z82" s="306">
        <f t="shared" si="266"/>
        <v>0.16443152540133443</v>
      </c>
      <c r="AA82" s="306">
        <f t="shared" si="266"/>
        <v>0.12281128404669261</v>
      </c>
      <c r="AB82" s="306">
        <f t="shared" si="266"/>
        <v>0.19954112248499833</v>
      </c>
      <c r="AC82" s="306">
        <f t="shared" ref="AC82:AL82" si="267">+AC81/X81-1</f>
        <v>4.2162698412698374E-2</v>
      </c>
      <c r="AD82" s="306">
        <f t="shared" si="267"/>
        <v>0.29693851626016254</v>
      </c>
      <c r="AE82" s="306">
        <f t="shared" si="267"/>
        <v>0.35385226370135037</v>
      </c>
      <c r="AF82" s="306">
        <f t="shared" si="267"/>
        <v>0.29098982022958642</v>
      </c>
      <c r="AG82" s="306">
        <f t="shared" si="267"/>
        <v>0.24962481240620304</v>
      </c>
      <c r="AH82" s="306">
        <f t="shared" si="267"/>
        <v>0.46465968586387429</v>
      </c>
      <c r="AI82" s="306">
        <f t="shared" si="267"/>
        <v>0.30927077721729757</v>
      </c>
      <c r="AJ82" s="306">
        <f t="shared" si="267"/>
        <v>0.33629468214390479</v>
      </c>
      <c r="AK82" s="306">
        <f t="shared" si="267"/>
        <v>0.22225484439224896</v>
      </c>
      <c r="AL82" s="306">
        <f t="shared" si="267"/>
        <v>0.32318796213441336</v>
      </c>
      <c r="AM82" s="306">
        <f t="shared" ref="AM82" si="268">+AM81/AH81-1</f>
        <v>0.24400844910228292</v>
      </c>
      <c r="AN82" s="306">
        <f t="shared" ref="AN82" si="269">+AN81/AI81-1</f>
        <v>0.24844766963417375</v>
      </c>
      <c r="AO82" s="306">
        <f t="shared" ref="AO82" si="270">+AO81/AJ81-1</f>
        <v>0.21076894129453083</v>
      </c>
      <c r="AP82" s="306">
        <f t="shared" ref="AP82" si="271">+AP81/AK81-1</f>
        <v>0.28938608832915813</v>
      </c>
      <c r="AQ82" s="306">
        <f t="shared" ref="AQ82" si="272">+AQ81/AL81-1</f>
        <v>0.24219396517204861</v>
      </c>
      <c r="AR82" s="306">
        <f t="shared" ref="AR82" si="273">+AR81/AM81-1</f>
        <v>0.24653061224489803</v>
      </c>
      <c r="AS82" s="306">
        <f t="shared" ref="AS82" si="274">+AS81/AN81-1</f>
        <v>0.28349712368168745</v>
      </c>
      <c r="AT82" s="306">
        <f t="shared" ref="AT82" si="275">+AT81/AO81-1</f>
        <v>0.16900204615504166</v>
      </c>
      <c r="AU82" s="306">
        <f t="shared" ref="AU82" si="276">+AU81/AP81-1</f>
        <v>0.15468142864746892</v>
      </c>
      <c r="AV82" s="306">
        <f t="shared" ref="AV82" si="277">+AV81/AQ81-1</f>
        <v>0.21421356886510656</v>
      </c>
      <c r="AW82" s="306">
        <f t="shared" ref="AW82" si="278">+AW81/AR81-1</f>
        <v>0.16764898493778646</v>
      </c>
      <c r="AX82" s="306">
        <f t="shared" ref="AX82:AY82" si="279">+AX81/AS81-1</f>
        <v>9.0293664503478199E-2</v>
      </c>
      <c r="AY82" s="306">
        <f t="shared" si="279"/>
        <v>0.11496875969335751</v>
      </c>
      <c r="AZ82" s="306">
        <f t="shared" ref="AZ82" si="280">+AZ81/AU81-1</f>
        <v>0.14218872447333242</v>
      </c>
      <c r="BA82" s="306">
        <f t="shared" ref="BA82" si="281">+BA81/AV81-1</f>
        <v>0.12776175052948924</v>
      </c>
      <c r="BB82" s="306">
        <f t="shared" ref="BB82" si="282">+BB81/AW81-1</f>
        <v>0.21731912507010653</v>
      </c>
      <c r="BC82" s="306">
        <f t="shared" ref="BC82" si="283">+BC81/AX81-1</f>
        <v>0.16439001413094667</v>
      </c>
      <c r="BD82" s="306">
        <f t="shared" ref="BD82" si="284">+BD81/AY81-1</f>
        <v>9.0117838761599955E-2</v>
      </c>
      <c r="BE82" s="306">
        <f t="shared" ref="BE82" si="285">+BE81/AZ81-1</f>
        <v>0.1113712037130461</v>
      </c>
      <c r="BF82" s="306">
        <f t="shared" ref="BF82" si="286">+BF81/BA81-1</f>
        <v>0.1434303380955122</v>
      </c>
      <c r="BG82" s="306">
        <f t="shared" ref="BG82" si="287">+BG81/BB81-1</f>
        <v>8.0959050532600996E-2</v>
      </c>
      <c r="BH82" s="306">
        <f t="shared" ref="BH82" si="288">+BH81/BC81-1</f>
        <v>0.21053986466607832</v>
      </c>
      <c r="BI82" s="306">
        <f t="shared" ref="BI82" si="289">+BI81/BD81-1</f>
        <v>0.25434758831893256</v>
      </c>
      <c r="BJ82" s="306">
        <f t="shared" ref="BJ82" si="290">+BJ81/BE81-1</f>
        <v>0.19546428441732933</v>
      </c>
      <c r="BK82" s="306">
        <f t="shared" ref="BK82" si="291">+BK81/BF81-1</f>
        <v>0.18557304748441061</v>
      </c>
      <c r="BL82" s="306">
        <f t="shared" ref="BL82" si="292">+BL81/BG81-1</f>
        <v>0.17689881510527661</v>
      </c>
      <c r="BM82" s="306">
        <f t="shared" ref="BM82" si="293">+BM81/BH81-1</f>
        <v>6.2277850350882513E-2</v>
      </c>
      <c r="BN82" s="306">
        <f t="shared" ref="BN82" si="294">+BN81/BI81-1</f>
        <v>1.2657859935184756E-2</v>
      </c>
      <c r="BO82" s="306">
        <f t="shared" ref="BO82" si="295">+BO81/BJ81-1</f>
        <v>0.1269156578927384</v>
      </c>
      <c r="BP82" s="306">
        <f t="shared" ref="BP82:BQ82" si="296">+BP81/BK81-1</f>
        <v>9.1468285360366552E-2</v>
      </c>
      <c r="BQ82" s="306">
        <f t="shared" si="296"/>
        <v>8.2875809418956781E-2</v>
      </c>
      <c r="BR82" s="306">
        <f t="shared" ref="BR82:BS82" si="297">+BR81/BM81-1</f>
        <v>5.0004289758915466E-2</v>
      </c>
      <c r="BS82" s="306">
        <f t="shared" si="297"/>
        <v>0.18538503487270752</v>
      </c>
      <c r="BT82" s="306">
        <f t="shared" ref="BT82" si="298">+BT81/BO81-1</f>
        <v>0.11363299413707129</v>
      </c>
      <c r="BU82" s="306">
        <f t="shared" ref="BU82" si="299">+BU81/BP81-1</f>
        <v>0.10807093713097782</v>
      </c>
      <c r="BV82" s="306">
        <f t="shared" ref="BV82" si="300">+BV81/BQ81-1</f>
        <v>5.03753558433222E-2</v>
      </c>
      <c r="BW82" s="306">
        <f t="shared" ref="BW82" si="301">+BW81/BR81-1</f>
        <v>5.4669287967616276E-2</v>
      </c>
      <c r="BX82" s="306">
        <f t="shared" ref="BX82" si="302">+BX81/BS81-1</f>
        <v>-4.8941179636501353E-2</v>
      </c>
      <c r="BY82" s="306">
        <f t="shared" ref="BY82" si="303">+BY81/BT81-1</f>
        <v>-4.8640361039835933E-2</v>
      </c>
      <c r="BZ82" s="306">
        <f t="shared" ref="BZ82" si="304">+BZ81/BU81-1</f>
        <v>-8.9793472587695877E-4</v>
      </c>
      <c r="CA82" s="306">
        <f t="shared" ref="CA82" si="305">+CA81/BV81-1</f>
        <v>4.3658434656664413E-2</v>
      </c>
      <c r="CB82" s="306">
        <f t="shared" ref="CB82" si="306">+CB81/BW81-1</f>
        <v>7.7414343517049122E-2</v>
      </c>
      <c r="CC82" s="306">
        <f t="shared" ref="CC82" si="307">+CC81/BX81-1</f>
        <v>9.4914262003618077E-2</v>
      </c>
      <c r="CD82" s="306">
        <f t="shared" ref="CD82" si="308">+CD81/BY81-1</f>
        <v>0.14702487533984376</v>
      </c>
      <c r="CE82" s="306">
        <f t="shared" ref="CE82" si="309">+CE81/BZ81-1</f>
        <v>9.0815246020095719E-2</v>
      </c>
    </row>
    <row r="83" spans="2:83" ht="13.15" thickBot="1">
      <c r="B83" s="320" t="s">
        <v>129</v>
      </c>
      <c r="C83" s="341"/>
      <c r="D83" s="342"/>
      <c r="E83" s="342">
        <f>+E81/D81-1</f>
        <v>7.2299651567944156E-2</v>
      </c>
      <c r="F83" s="342">
        <f>+F81/E81-1</f>
        <v>0.86799350121852159</v>
      </c>
      <c r="G83" s="342">
        <f>+G81/F81-1</f>
        <v>-3.435529462926723E-2</v>
      </c>
      <c r="H83" s="342"/>
      <c r="I83" s="342">
        <f>+I81/G81-1</f>
        <v>-0.37063724386399455</v>
      </c>
      <c r="J83" s="342">
        <f>+J81/I81-1</f>
        <v>0.60107334525939171</v>
      </c>
      <c r="K83" s="342">
        <f>+K81/J81-1</f>
        <v>-0.26212290502793301</v>
      </c>
      <c r="L83" s="342">
        <f>+L81/K81-1</f>
        <v>1.076014536644458</v>
      </c>
      <c r="M83" s="342"/>
      <c r="N83" s="342">
        <f>+N81/L81-1</f>
        <v>-0.3187454412837345</v>
      </c>
      <c r="O83" s="342">
        <f>+O81/N81-1</f>
        <v>0.55182012847965733</v>
      </c>
      <c r="P83" s="342">
        <f>+P81/O81-1</f>
        <v>0.2481026631709673</v>
      </c>
      <c r="Q83" s="342">
        <f>+Q81/P81-1</f>
        <v>0.18640132669983411</v>
      </c>
      <c r="R83" s="342"/>
      <c r="S83" s="342">
        <f>+S81/Q81-1</f>
        <v>0.11611219830397923</v>
      </c>
      <c r="T83" s="342">
        <f>+T81/S81-1</f>
        <v>9.3596059113300489E-2</v>
      </c>
      <c r="U83" s="342">
        <f>+U81/T81-1</f>
        <v>0.15567262177431673</v>
      </c>
      <c r="V83" s="342">
        <f>+V81/U81-1</f>
        <v>8.6608971394596113E-2</v>
      </c>
      <c r="W83" s="342"/>
      <c r="X83" s="342">
        <f>+X81/V81-1</f>
        <v>-1.945525291828798E-2</v>
      </c>
      <c r="Y83" s="342">
        <f>+Y81/X81-1</f>
        <v>-2.3809523809523836E-2</v>
      </c>
      <c r="Z83" s="342">
        <f>+Z81/Y81-1</f>
        <v>0.11953760162601634</v>
      </c>
      <c r="AA83" s="342">
        <f>+AA81/Z81-1</f>
        <v>4.7770339271530737E-2</v>
      </c>
      <c r="AB83" s="342"/>
      <c r="AC83" s="342">
        <f>+AC81/AA81-1</f>
        <v>-8.9885206844271148E-2</v>
      </c>
      <c r="AD83" s="342">
        <f>+AD81/AC81-1</f>
        <v>0.21483817229890523</v>
      </c>
      <c r="AE83" s="342">
        <f>+AE81/AD81-1</f>
        <v>0.16866643812135762</v>
      </c>
      <c r="AF83" s="342">
        <f>+AF81/AE81-1</f>
        <v>-8.8002346729243452E-4</v>
      </c>
      <c r="AG83" s="342"/>
      <c r="AH83" s="342">
        <f>+AH81/AF81-1</f>
        <v>3.2547605066689078E-2</v>
      </c>
      <c r="AI83" s="342">
        <f>+AI81/AH81-1</f>
        <v>8.5953367454707941E-2</v>
      </c>
      <c r="AJ83" s="342">
        <f>+AJ81/AI81-1</f>
        <v>0.19278820977032995</v>
      </c>
      <c r="AK83" s="342">
        <f>+AK81/AJ81-1</f>
        <v>-8.6145258404415448E-2</v>
      </c>
      <c r="AL83" s="342"/>
      <c r="AM83" s="342">
        <f>+AM81/AK81-1</f>
        <v>5.0924813836175753E-2</v>
      </c>
      <c r="AN83" s="342">
        <f>+AN81/AM81-1</f>
        <v>8.9828571428571369E-2</v>
      </c>
      <c r="AO83" s="342">
        <f>+AO81/AN81-1</f>
        <v>0.15678930968360505</v>
      </c>
      <c r="AP83" s="342">
        <f>+AP81/AO81-1</f>
        <v>-2.6807221114247937E-2</v>
      </c>
      <c r="AQ83" s="342"/>
      <c r="AR83" s="342">
        <f>+AR81/AP81-1</f>
        <v>1.5995102996753108E-2</v>
      </c>
      <c r="AS83" s="342">
        <f>+AS81/AR81-1</f>
        <v>0.12214800261951542</v>
      </c>
      <c r="AT83" s="342">
        <f>+AT81/AS81-1</f>
        <v>5.3597273448807048E-2</v>
      </c>
      <c r="AU83" s="342">
        <f>+AU81/AT81-1</f>
        <v>-3.8729117738290464E-2</v>
      </c>
      <c r="AV83" s="342"/>
      <c r="AW83" s="342">
        <f>+AW81/AU81-1</f>
        <v>2.7405153736228316E-2</v>
      </c>
      <c r="AX83" s="342">
        <f>+AX81/AW81-1</f>
        <v>4.7807066741446969E-2</v>
      </c>
      <c r="AY83" s="342">
        <f>+AY81/AX81-1</f>
        <v>7.7441870423500259E-2</v>
      </c>
      <c r="AZ83" s="342">
        <f>+AZ81/AY81-1</f>
        <v>-1.5261411283111093E-2</v>
      </c>
      <c r="BA83" s="342"/>
      <c r="BB83" s="342">
        <f>+BB81/AZ81-1</f>
        <v>9.4985369791141139E-2</v>
      </c>
      <c r="BC83" s="342">
        <f>+BC81/BB81-1</f>
        <v>2.2483505952599625E-3</v>
      </c>
      <c r="BD83" s="342">
        <f>+BD81/BC81-1</f>
        <v>8.715798764342475E-3</v>
      </c>
      <c r="BE83" s="342">
        <f>+BE81/BD81-1</f>
        <v>3.9374384775237026E-3</v>
      </c>
      <c r="BF83" s="342"/>
      <c r="BG83" s="342">
        <f>+BG81/BE81-1</f>
        <v>6.5021607292007122E-2</v>
      </c>
      <c r="BH83" s="342">
        <f>+BH81/BG81-1</f>
        <v>0.12239365782968203</v>
      </c>
      <c r="BI83" s="342">
        <f>+BI81/BH81-1</f>
        <v>4.5219795242579908E-2</v>
      </c>
      <c r="BJ83" s="342">
        <f>+BJ81/BI81-1</f>
        <v>-4.3190768917760192E-2</v>
      </c>
      <c r="BK83" s="342"/>
      <c r="BL83" s="342">
        <f>+BL81/BJ81-1</f>
        <v>4.8481902823554357E-2</v>
      </c>
      <c r="BM83" s="342">
        <f>+BM81/BL81-1</f>
        <v>1.3081079515000482E-2</v>
      </c>
      <c r="BN83" s="342">
        <f>+BN81/BM81-1</f>
        <v>-3.6033974890611331E-3</v>
      </c>
      <c r="BO83" s="342">
        <f>+BO81/BN81-1</f>
        <v>6.4765649665623926E-2</v>
      </c>
      <c r="BP83" s="342"/>
      <c r="BQ83" s="342">
        <f>+BQ81/BO81-1</f>
        <v>7.5072444234787206E-3</v>
      </c>
      <c r="BR83" s="342">
        <f>+BR81/BQ81-1</f>
        <v>-1.7671767979452024E-2</v>
      </c>
      <c r="BS83" s="342">
        <f>+BS81/BR81-1</f>
        <v>0.12486552001198414</v>
      </c>
      <c r="BT83" s="342">
        <f>+BT81/BS81-1</f>
        <v>3.1476997578683275E-4</v>
      </c>
      <c r="BU83" s="342"/>
      <c r="BV83" s="342">
        <f>+BV81/BT81-1</f>
        <v>-4.9722138309974739E-2</v>
      </c>
      <c r="BW83" s="342">
        <f>+BW81/BV81-1</f>
        <v>-1.3656012346374147E-2</v>
      </c>
      <c r="BX83" s="342">
        <f>+BX81/BW81-1</f>
        <v>1.4358990761679902E-2</v>
      </c>
      <c r="BY83" s="342">
        <f>+BY81/BX81-1</f>
        <v>6.3116816156139066E-4</v>
      </c>
      <c r="BZ83" s="342"/>
      <c r="CA83" s="342">
        <f>+CA81/BY81-1</f>
        <v>4.2471705762390233E-2</v>
      </c>
      <c r="CB83" s="342">
        <f>+CB81/CA81-1</f>
        <v>1.8246127900475306E-2</v>
      </c>
      <c r="CC83" s="342">
        <f>+CC81/CB81-1</f>
        <v>3.0834731744022736E-2</v>
      </c>
      <c r="CD83" s="342">
        <f>+CD81/CC81-1</f>
        <v>4.8254535310715108E-2</v>
      </c>
      <c r="CE83" s="342"/>
    </row>
    <row r="85" spans="2:83">
      <c r="B85" s="115" t="s">
        <v>513</v>
      </c>
      <c r="BB85" s="744">
        <f>BB68-BB81</f>
        <v>17139</v>
      </c>
      <c r="BC85" s="744">
        <f t="shared" ref="BC85:BZ85" si="310">BC68-BC81</f>
        <v>-24084</v>
      </c>
      <c r="BD85" s="744">
        <f t="shared" si="310"/>
        <v>-13940</v>
      </c>
      <c r="BE85" s="744">
        <f t="shared" si="310"/>
        <v>-14200</v>
      </c>
      <c r="BF85" s="746">
        <f t="shared" si="310"/>
        <v>-35084</v>
      </c>
      <c r="BG85" s="744">
        <f t="shared" si="310"/>
        <v>4121</v>
      </c>
      <c r="BH85" s="744">
        <f t="shared" si="310"/>
        <v>-15737</v>
      </c>
      <c r="BI85" s="744">
        <f t="shared" si="310"/>
        <v>21819</v>
      </c>
      <c r="BJ85" s="744">
        <f t="shared" si="310"/>
        <v>-33523</v>
      </c>
      <c r="BK85" s="746">
        <f t="shared" si="310"/>
        <v>-23320</v>
      </c>
      <c r="BL85" s="744">
        <f t="shared" si="310"/>
        <v>14423</v>
      </c>
      <c r="BM85" s="744">
        <f t="shared" si="310"/>
        <v>-21136</v>
      </c>
      <c r="BN85" s="744">
        <f t="shared" si="310"/>
        <v>-12059</v>
      </c>
      <c r="BO85" s="744">
        <f t="shared" si="310"/>
        <v>-32310</v>
      </c>
      <c r="BP85" s="746">
        <f t="shared" si="310"/>
        <v>-51082</v>
      </c>
      <c r="BQ85" s="744">
        <f t="shared" si="310"/>
        <v>32798</v>
      </c>
      <c r="BR85" s="744">
        <f t="shared" si="310"/>
        <v>-40987</v>
      </c>
      <c r="BS85" s="744">
        <f t="shared" ref="BS85" si="311">BS68-BS81</f>
        <v>6881</v>
      </c>
      <c r="BT85" s="744">
        <f t="shared" si="310"/>
        <v>-7691</v>
      </c>
      <c r="BU85" s="746">
        <f t="shared" si="310"/>
        <v>-8999</v>
      </c>
      <c r="BV85" s="744">
        <f t="shared" si="310"/>
        <v>29754.306214833341</v>
      </c>
      <c r="BW85" s="744">
        <f t="shared" si="310"/>
        <v>-36178.294377333317</v>
      </c>
      <c r="BX85" s="744">
        <f t="shared" si="310"/>
        <v>8055.1948221944185</v>
      </c>
      <c r="BY85" s="744">
        <f t="shared" si="310"/>
        <v>-17071.958374184826</v>
      </c>
      <c r="BZ85" s="746">
        <f t="shared" si="310"/>
        <v>-15440.751714490354</v>
      </c>
      <c r="CA85" s="744">
        <f t="shared" ref="CA85:CE85" si="312">CA68-CA81</f>
        <v>35737.372275545888</v>
      </c>
      <c r="CB85" s="744">
        <f t="shared" si="312"/>
        <v>-50571.68315909052</v>
      </c>
      <c r="CC85" s="744">
        <f t="shared" si="312"/>
        <v>22047.727626195992</v>
      </c>
      <c r="CD85" s="744">
        <f t="shared" si="312"/>
        <v>-23604.688460161429</v>
      </c>
      <c r="CE85" s="746">
        <f t="shared" si="312"/>
        <v>-16391.271717510128</v>
      </c>
    </row>
    <row r="86" spans="2:83">
      <c r="BF86" s="747"/>
      <c r="BK86" s="747"/>
      <c r="BP86" s="747"/>
      <c r="BU86" s="747"/>
      <c r="BZ86" s="747"/>
      <c r="CE86" s="747"/>
    </row>
    <row r="87" spans="2:83">
      <c r="B87" s="115" t="s">
        <v>512</v>
      </c>
      <c r="BB87" s="745">
        <f>IS!BB66</f>
        <v>0.47841650502556871</v>
      </c>
      <c r="BC87" s="745">
        <f>IS!BC66</f>
        <v>0.45360446398038251</v>
      </c>
      <c r="BD87" s="745">
        <f>IS!BD66</f>
        <v>0.43690317853473609</v>
      </c>
      <c r="BE87" s="745">
        <f>IS!BE66</f>
        <v>0.4208973702512056</v>
      </c>
      <c r="BF87" s="748">
        <f>IS!BF66</f>
        <v>0.44632782205450838</v>
      </c>
      <c r="BG87" s="745">
        <f>IS!BG66</f>
        <v>0.44883420184721806</v>
      </c>
      <c r="BH87" s="745">
        <f>IS!BH66</f>
        <v>0.47980817584852303</v>
      </c>
      <c r="BI87" s="745">
        <f>IS!BI66</f>
        <v>0.48459815769458292</v>
      </c>
      <c r="BJ87" s="745">
        <f>IS!BJ66</f>
        <v>0.4554126028913329</v>
      </c>
      <c r="BK87" s="748">
        <f>IS!BK66</f>
        <v>0.46737354317189039</v>
      </c>
      <c r="BL87" s="745">
        <f>IS!BL66</f>
        <v>0.4734474126401701</v>
      </c>
      <c r="BM87" s="745">
        <f>IS!BM66</f>
        <v>0.47027732200016137</v>
      </c>
      <c r="BN87" s="745">
        <f>IS!BN66</f>
        <v>0.45287163589333645</v>
      </c>
      <c r="BO87" s="745">
        <f>IS!BO66</f>
        <v>0.46607534345534607</v>
      </c>
      <c r="BP87" s="748">
        <f>IS!BP66</f>
        <v>0.46552913157474601</v>
      </c>
      <c r="BQ87" s="745">
        <f>IS!BQ66</f>
        <v>0.46749510628584295</v>
      </c>
      <c r="BR87" s="745">
        <f>IS!BR66</f>
        <v>0.44758079262717754</v>
      </c>
      <c r="BS87" s="745">
        <f>IS!BS66</f>
        <v>0.48621984671713309</v>
      </c>
      <c r="BT87" s="745">
        <f>IS!BT66</f>
        <v>0.47138896178729134</v>
      </c>
      <c r="BU87" s="748">
        <f>IS!BU66</f>
        <v>0.46838632542499531</v>
      </c>
      <c r="BV87" s="745">
        <f>IS!BV66</f>
        <v>0.45257634895852905</v>
      </c>
      <c r="BW87" s="745">
        <f>IS!BW66</f>
        <v>0.43708307024822834</v>
      </c>
      <c r="BX87" s="745">
        <f>IS!BX66</f>
        <v>0.43016155707545833</v>
      </c>
      <c r="BY87" s="745">
        <f>IS!BY66</f>
        <v>0.41912189952875145</v>
      </c>
      <c r="BZ87" s="748">
        <f>IS!BZ66</f>
        <v>0.43438523311777011</v>
      </c>
      <c r="CA87" s="745">
        <f>IS!CA66</f>
        <v>0.43734733695989503</v>
      </c>
      <c r="CB87" s="745">
        <f>IS!CB66</f>
        <v>0.44011174691019733</v>
      </c>
      <c r="CC87" s="745">
        <f>IS!CC66</f>
        <v>0.44433021113924781</v>
      </c>
      <c r="CD87" s="745">
        <f>IS!CD66</f>
        <v>0.45353136279166473</v>
      </c>
      <c r="CE87" s="748">
        <f>IS!CE66</f>
        <v>0.44396766383007036</v>
      </c>
    </row>
    <row r="88" spans="2:83">
      <c r="B88" s="743" t="s">
        <v>514</v>
      </c>
      <c r="BB88" s="745">
        <f>BB71-BB87</f>
        <v>0.15111091518250747</v>
      </c>
      <c r="BC88" s="745">
        <f t="shared" ref="BC88:BZ88" si="313">BC71-BC87</f>
        <v>-0.20087911721284812</v>
      </c>
      <c r="BD88" s="745">
        <f t="shared" si="313"/>
        <v>-0.11102173445576252</v>
      </c>
      <c r="BE88" s="745">
        <f t="shared" si="313"/>
        <v>-0.10852203685163814</v>
      </c>
      <c r="BF88" s="748">
        <f t="shared" si="313"/>
        <v>-7.16404988125941E-2</v>
      </c>
      <c r="BG88" s="745">
        <f t="shared" si="313"/>
        <v>3.1534323515683027E-2</v>
      </c>
      <c r="BH88" s="745">
        <f t="shared" si="313"/>
        <v>-0.11469364254531406</v>
      </c>
      <c r="BI88" s="745">
        <f t="shared" si="313"/>
        <v>0.15365925800726787</v>
      </c>
      <c r="BJ88" s="745">
        <f t="shared" si="313"/>
        <v>-0.23188074980978071</v>
      </c>
      <c r="BK88" s="748">
        <f t="shared" si="313"/>
        <v>-4.2059091942040716E-2</v>
      </c>
      <c r="BL88" s="745">
        <f t="shared" si="313"/>
        <v>9.8919790130653995E-2</v>
      </c>
      <c r="BM88" s="745">
        <f t="shared" si="313"/>
        <v>-0.14213088737660379</v>
      </c>
      <c r="BN88" s="745">
        <f t="shared" si="313"/>
        <v>-7.8372880474695705E-2</v>
      </c>
      <c r="BO88" s="745">
        <f t="shared" si="313"/>
        <v>-0.20296373538705076</v>
      </c>
      <c r="BP88" s="748">
        <f t="shared" si="313"/>
        <v>-8.4075770568378061E-2</v>
      </c>
      <c r="BQ88" s="745">
        <f t="shared" si="313"/>
        <v>0.20511698009368412</v>
      </c>
      <c r="BR88" s="745">
        <f t="shared" si="313"/>
        <v>-0.24982628518486913</v>
      </c>
      <c r="BS88" s="745">
        <f t="shared" ref="BS88" si="314">BS71-BS87</f>
        <v>4.0504585535842519E-2</v>
      </c>
      <c r="BT88" s="745">
        <f t="shared" si="313"/>
        <v>-4.3877865382640546E-2</v>
      </c>
      <c r="BU88" s="748">
        <f t="shared" si="313"/>
        <v>-1.3448907154866407E-2</v>
      </c>
      <c r="BV88" s="745">
        <f t="shared" si="313"/>
        <v>0.17150403504904488</v>
      </c>
      <c r="BW88" s="745">
        <f t="shared" si="313"/>
        <v>-0.20418147236869638</v>
      </c>
      <c r="BX88" s="745">
        <f t="shared" si="313"/>
        <v>4.4108289787983701E-2</v>
      </c>
      <c r="BY88" s="745">
        <f t="shared" si="313"/>
        <v>-9.1025326526881722E-2</v>
      </c>
      <c r="BZ88" s="748">
        <f t="shared" si="313"/>
        <v>-2.142013345063204E-2</v>
      </c>
      <c r="CA88" s="745">
        <f t="shared" ref="CA88:CE88" si="315">CA71-CA87</f>
        <v>0.19073191746295803</v>
      </c>
      <c r="CB88" s="745">
        <f t="shared" si="315"/>
        <v>-0.26674228898599328</v>
      </c>
      <c r="CC88" s="745">
        <f t="shared" si="315"/>
        <v>0.11389433948314404</v>
      </c>
      <c r="CD88" s="745">
        <f t="shared" si="315"/>
        <v>-0.1187329641357644</v>
      </c>
      <c r="CE88" s="748">
        <f t="shared" si="315"/>
        <v>-2.1305487185382055E-2</v>
      </c>
    </row>
    <row r="89" spans="2:83">
      <c r="BF89" s="747"/>
      <c r="BK89" s="747"/>
      <c r="BP89" s="747"/>
      <c r="BU89" s="747"/>
      <c r="BZ89" s="747"/>
      <c r="CE89" s="747"/>
    </row>
    <row r="90" spans="2:83">
      <c r="B90" s="115" t="s">
        <v>2</v>
      </c>
      <c r="BB90" s="621">
        <f>IS!BB41</f>
        <v>46986</v>
      </c>
      <c r="BC90" s="621">
        <f>IS!BC41</f>
        <v>47287</v>
      </c>
      <c r="BD90" s="621">
        <f>IS!BD41</f>
        <v>47983</v>
      </c>
      <c r="BE90" s="621">
        <f>IS!BE41</f>
        <v>47385</v>
      </c>
      <c r="BF90" s="749">
        <f>IS!BF41</f>
        <v>189641</v>
      </c>
      <c r="BG90" s="621">
        <f>IS!BG41</f>
        <v>51983</v>
      </c>
      <c r="BH90" s="621">
        <f>IS!BH41</f>
        <v>59604</v>
      </c>
      <c r="BI90" s="621">
        <f>IS!BI41</f>
        <v>62889</v>
      </c>
      <c r="BJ90" s="621">
        <f>IS!BJ41</f>
        <v>60759</v>
      </c>
      <c r="BK90" s="749">
        <f>IS!BK41</f>
        <v>235235</v>
      </c>
      <c r="BL90" s="621">
        <f>IS!BL41</f>
        <v>64564</v>
      </c>
      <c r="BM90" s="621">
        <f>IS!BM41</f>
        <v>65925</v>
      </c>
      <c r="BN90" s="621">
        <f>IS!BN41</f>
        <v>66012</v>
      </c>
      <c r="BO90" s="621">
        <f>IS!BO41</f>
        <v>70731</v>
      </c>
      <c r="BP90" s="749">
        <f>IS!BP41</f>
        <v>267232</v>
      </c>
      <c r="BQ90" s="621">
        <f>IS!BQ41</f>
        <v>71215</v>
      </c>
      <c r="BR90" s="621">
        <f>IS!BR41</f>
        <v>70092</v>
      </c>
      <c r="BS90" s="621">
        <f>IS!BS41</f>
        <v>80041</v>
      </c>
      <c r="BT90" s="621">
        <f>IS!BT41</f>
        <v>80127</v>
      </c>
      <c r="BU90" s="749">
        <f>IS!BU41</f>
        <v>301475</v>
      </c>
      <c r="BV90" s="621">
        <f>IS!BV41</f>
        <v>75042.758600000001</v>
      </c>
      <c r="BW90" s="621">
        <f>IS!BW41</f>
        <v>74205.496300000028</v>
      </c>
      <c r="BX90" s="621">
        <f>IS!BX41</f>
        <v>76455.72108399999</v>
      </c>
      <c r="BY90" s="621">
        <f>IS!BY41</f>
        <v>76441.543073500012</v>
      </c>
      <c r="BZ90" s="749">
        <f>IS!BZ41</f>
        <v>302145.51905750006</v>
      </c>
      <c r="CA90" s="621">
        <f>IS!CA41</f>
        <v>78600.202337832015</v>
      </c>
      <c r="CB90" s="621">
        <f>IS!CB41</f>
        <v>80316.150217560964</v>
      </c>
      <c r="CC90" s="621">
        <f>IS!CC41</f>
        <v>83661.407186035271</v>
      </c>
      <c r="CD90" s="621">
        <f>IS!CD41</f>
        <v>87861.933732866863</v>
      </c>
      <c r="CE90" s="749">
        <f>IS!CE41</f>
        <v>330439.69347429508</v>
      </c>
    </row>
    <row r="91" spans="2:83">
      <c r="B91" s="743" t="s">
        <v>514</v>
      </c>
      <c r="BB91" s="621">
        <f>BB68-BB90</f>
        <v>24415</v>
      </c>
      <c r="BC91" s="621">
        <f t="shared" ref="BC91:BZ91" si="316">BC68-BC90</f>
        <v>-16987</v>
      </c>
      <c r="BD91" s="621">
        <f t="shared" si="316"/>
        <v>-7065</v>
      </c>
      <c r="BE91" s="621">
        <f t="shared" si="316"/>
        <v>-6511</v>
      </c>
      <c r="BF91" s="749">
        <f t="shared" si="316"/>
        <v>-6148</v>
      </c>
      <c r="BG91" s="621">
        <f t="shared" si="316"/>
        <v>10793</v>
      </c>
      <c r="BH91" s="621">
        <f t="shared" si="316"/>
        <v>-9507</v>
      </c>
      <c r="BI91" s="621">
        <f t="shared" si="316"/>
        <v>27741</v>
      </c>
      <c r="BJ91" s="621">
        <f t="shared" si="316"/>
        <v>-28443</v>
      </c>
      <c r="BK91" s="749">
        <f t="shared" si="316"/>
        <v>584</v>
      </c>
      <c r="BL91" s="621">
        <f t="shared" si="316"/>
        <v>18890</v>
      </c>
      <c r="BM91" s="621">
        <f t="shared" si="316"/>
        <v>-17127</v>
      </c>
      <c r="BN91" s="621">
        <f t="shared" si="316"/>
        <v>-8389</v>
      </c>
      <c r="BO91" s="621">
        <f t="shared" si="316"/>
        <v>-28846</v>
      </c>
      <c r="BP91" s="749">
        <f t="shared" si="316"/>
        <v>-35472</v>
      </c>
      <c r="BQ91" s="621">
        <f t="shared" si="316"/>
        <v>36335</v>
      </c>
      <c r="BR91" s="621">
        <f t="shared" si="316"/>
        <v>-37648</v>
      </c>
      <c r="BS91" s="621">
        <f t="shared" ref="BS91" si="317">BS68-BS90</f>
        <v>9440</v>
      </c>
      <c r="BT91" s="621">
        <f t="shared" si="316"/>
        <v>-5192</v>
      </c>
      <c r="BU91" s="749">
        <f t="shared" si="316"/>
        <v>2935</v>
      </c>
      <c r="BV91" s="621">
        <f t="shared" si="316"/>
        <v>33229.206214833364</v>
      </c>
      <c r="BW91" s="621">
        <f t="shared" si="316"/>
        <v>-32938.370192583308</v>
      </c>
      <c r="BX91" s="621">
        <f t="shared" si="316"/>
        <v>10156.932300219414</v>
      </c>
      <c r="BY91" s="621">
        <f t="shared" si="316"/>
        <v>-14906.459918962319</v>
      </c>
      <c r="BZ91" s="749">
        <f t="shared" si="316"/>
        <v>-4458.6915964927757</v>
      </c>
      <c r="CA91" s="621">
        <f t="shared" ref="CA91:CE91" si="318">CA68-CA90</f>
        <v>39082.786605096277</v>
      </c>
      <c r="CB91" s="621">
        <f t="shared" si="318"/>
        <v>-47447.026506672701</v>
      </c>
      <c r="CC91" s="621">
        <f t="shared" si="318"/>
        <v>24400.002206480116</v>
      </c>
      <c r="CD91" s="621">
        <f t="shared" si="318"/>
        <v>-21302.390182711417</v>
      </c>
      <c r="CE91" s="749">
        <f t="shared" si="318"/>
        <v>-5266.6278778077685</v>
      </c>
    </row>
    <row r="92" spans="2:83">
      <c r="BF92" s="747"/>
      <c r="BK92" s="747"/>
      <c r="BP92" s="747"/>
      <c r="BU92" s="747"/>
      <c r="BZ92" s="747"/>
      <c r="CE92" s="747"/>
    </row>
    <row r="93" spans="2:83">
      <c r="B93" s="115" t="s">
        <v>75</v>
      </c>
      <c r="BB93" s="745">
        <f>IS!BB42</f>
        <v>0.41426556162934225</v>
      </c>
      <c r="BC93" s="745">
        <f>IS!BC42</f>
        <v>0.39441001559724087</v>
      </c>
      <c r="BD93" s="745">
        <f>IS!BD42</f>
        <v>0.38214891566648879</v>
      </c>
      <c r="BE93" s="745">
        <f>IS!BE42</f>
        <v>0.36213498001513195</v>
      </c>
      <c r="BF93" s="748">
        <f>IS!BF42</f>
        <v>0.38724135889063815</v>
      </c>
      <c r="BG93" s="745">
        <f>IS!BG42</f>
        <v>0.39777935921275148</v>
      </c>
      <c r="BH93" s="745">
        <f>IS!BH42</f>
        <v>0.4344029910574379</v>
      </c>
      <c r="BI93" s="745">
        <f>IS!BI42</f>
        <v>0.44289275754246599</v>
      </c>
      <c r="BJ93" s="745">
        <f>IS!BJ42</f>
        <v>0.42027391575015566</v>
      </c>
      <c r="BK93" s="748">
        <f>IS!BK42</f>
        <v>0.4242611703681794</v>
      </c>
      <c r="BL93" s="745">
        <f>IS!BL42</f>
        <v>0.44281060320290799</v>
      </c>
      <c r="BM93" s="745">
        <f>IS!BM42</f>
        <v>0.44331844957904082</v>
      </c>
      <c r="BN93" s="745">
        <f>IS!BN42</f>
        <v>0.42901986780791201</v>
      </c>
      <c r="BO93" s="745">
        <f>IS!BO42</f>
        <v>0.44431531933337942</v>
      </c>
      <c r="BP93" s="748">
        <f>IS!BP42</f>
        <v>0.43983666106512653</v>
      </c>
      <c r="BQ93" s="745">
        <f>IS!BQ42</f>
        <v>0.44537489290114385</v>
      </c>
      <c r="BR93" s="745">
        <f>IS!BR42</f>
        <v>0.42722873060184563</v>
      </c>
      <c r="BS93" s="745">
        <f>IS!BS42</f>
        <v>0.4711564497710175</v>
      </c>
      <c r="BT93" s="745">
        <f>IS!BT42</f>
        <v>0.45713193596604329</v>
      </c>
      <c r="BU93" s="748">
        <f>IS!BU42</f>
        <v>0.45055109284513356</v>
      </c>
      <c r="BV93" s="745">
        <f>IS!BV42</f>
        <v>0.43254700036310362</v>
      </c>
      <c r="BW93" s="745">
        <f>IS!BW42</f>
        <v>0.41879772811723853</v>
      </c>
      <c r="BX93" s="745">
        <f>IS!BX42</f>
        <v>0.41865295327563889</v>
      </c>
      <c r="BY93" s="745">
        <f>IS!BY42</f>
        <v>0.40757576055279465</v>
      </c>
      <c r="BZ93" s="748">
        <f>IS!BZ42</f>
        <v>0.41915040532958581</v>
      </c>
      <c r="CA93" s="745">
        <f>IS!CA42</f>
        <v>0.41949271449735265</v>
      </c>
      <c r="CB93" s="745">
        <f>IS!CB42</f>
        <v>0.42363062515003663</v>
      </c>
      <c r="CC93" s="745">
        <f>IS!CC42</f>
        <v>0.43217881104275296</v>
      </c>
      <c r="CD93" s="745">
        <f>IS!CD42</f>
        <v>0.44195066774171049</v>
      </c>
      <c r="CE93" s="748">
        <f>IS!CE42</f>
        <v>0.42950777561312847</v>
      </c>
    </row>
    <row r="94" spans="2:83">
      <c r="B94" s="743" t="s">
        <v>514</v>
      </c>
      <c r="BB94" s="745">
        <f>BB71-BB93</f>
        <v>0.21526185857873392</v>
      </c>
      <c r="BC94" s="745">
        <f t="shared" ref="BC94:BZ94" si="319">BC71-BC93</f>
        <v>-0.14168466882970648</v>
      </c>
      <c r="BD94" s="745">
        <f t="shared" si="319"/>
        <v>-5.6267471587515216E-2</v>
      </c>
      <c r="BE94" s="745">
        <f t="shared" si="319"/>
        <v>-4.9759646615564479E-2</v>
      </c>
      <c r="BF94" s="748">
        <f t="shared" si="319"/>
        <v>-1.2554035648723871E-2</v>
      </c>
      <c r="BG94" s="745">
        <f t="shared" si="319"/>
        <v>8.2589166150149607E-2</v>
      </c>
      <c r="BH94" s="745">
        <f t="shared" si="319"/>
        <v>-6.9288457754228927E-2</v>
      </c>
      <c r="BI94" s="745">
        <f t="shared" si="319"/>
        <v>0.19536465815938481</v>
      </c>
      <c r="BJ94" s="745">
        <f t="shared" si="319"/>
        <v>-0.19674206266860347</v>
      </c>
      <c r="BK94" s="748">
        <f t="shared" si="319"/>
        <v>1.0532808616702805E-3</v>
      </c>
      <c r="BL94" s="745">
        <f t="shared" si="319"/>
        <v>0.1295565995679161</v>
      </c>
      <c r="BM94" s="745">
        <f t="shared" si="319"/>
        <v>-0.11517201495548324</v>
      </c>
      <c r="BN94" s="745">
        <f t="shared" si="319"/>
        <v>-5.4521112389271265E-2</v>
      </c>
      <c r="BO94" s="745">
        <f t="shared" si="319"/>
        <v>-0.18120371126508411</v>
      </c>
      <c r="BP94" s="748">
        <f t="shared" si="319"/>
        <v>-5.838330005875858E-2</v>
      </c>
      <c r="BQ94" s="745">
        <f t="shared" si="319"/>
        <v>0.22723719347838323</v>
      </c>
      <c r="BR94" s="745">
        <f t="shared" si="319"/>
        <v>-0.22947422315953722</v>
      </c>
      <c r="BS94" s="745">
        <f t="shared" ref="BS94" si="320">BS71-BS93</f>
        <v>5.55679824819581E-2</v>
      </c>
      <c r="BT94" s="745">
        <f t="shared" si="319"/>
        <v>-2.9620839561392498E-2</v>
      </c>
      <c r="BU94" s="748">
        <f t="shared" si="319"/>
        <v>4.3863254249953409E-3</v>
      </c>
      <c r="BV94" s="745">
        <f t="shared" si="319"/>
        <v>0.19153338364447031</v>
      </c>
      <c r="BW94" s="745">
        <f t="shared" si="319"/>
        <v>-0.18589613023770657</v>
      </c>
      <c r="BX94" s="745">
        <f t="shared" si="319"/>
        <v>5.561689358780314E-2</v>
      </c>
      <c r="BY94" s="745">
        <f t="shared" si="319"/>
        <v>-7.9479187550924923E-2</v>
      </c>
      <c r="BZ94" s="748">
        <f t="shared" si="319"/>
        <v>-6.1853056624477376E-3</v>
      </c>
      <c r="CA94" s="745">
        <f t="shared" ref="CA94:CE94" si="321">CA71-CA93</f>
        <v>0.20858653992550041</v>
      </c>
      <c r="CB94" s="745">
        <f t="shared" si="321"/>
        <v>-0.25026116722583258</v>
      </c>
      <c r="CC94" s="745">
        <f t="shared" si="321"/>
        <v>0.12604573957963888</v>
      </c>
      <c r="CD94" s="745">
        <f t="shared" si="321"/>
        <v>-0.10715226908581016</v>
      </c>
      <c r="CE94" s="748">
        <f t="shared" si="321"/>
        <v>-6.8455989684401697E-3</v>
      </c>
    </row>
    <row r="129" hidden="1"/>
  </sheetData>
  <printOptions horizontalCentered="1" verticalCentered="1"/>
  <pageMargins left="0.7" right="0.7" top="0.75" bottom="0.75" header="0.3" footer="0.3"/>
  <pageSetup scale="68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7">
    <tabColor theme="0" tint="-0.499984740745262"/>
  </sheetPr>
  <dimension ref="A1:CE240"/>
  <sheetViews>
    <sheetView showGridLines="0" view="pageBreakPreview" zoomScale="80" zoomScaleNormal="100" zoomScaleSheetLayoutView="80" workbookViewId="0">
      <pane xSplit="2" ySplit="8" topLeftCell="C9" activePane="bottomRight" state="frozen"/>
      <selection activeCell="BF6" sqref="BF6"/>
      <selection pane="topRight" activeCell="BF6" sqref="BF6"/>
      <selection pane="bottomLeft" activeCell="BF6" sqref="BF6"/>
      <selection pane="bottomRight" activeCell="BV10" sqref="BV10"/>
    </sheetView>
  </sheetViews>
  <sheetFormatPr defaultColWidth="16.3984375" defaultRowHeight="11.65" outlineLevelRow="1" outlineLevelCol="2"/>
  <cols>
    <col min="1" max="1" width="3.59765625" style="7" customWidth="1"/>
    <col min="2" max="2" width="34.59765625" style="7" customWidth="1"/>
    <col min="3" max="3" width="2" style="7" customWidth="1"/>
    <col min="4" max="7" width="11.3984375" style="7" hidden="1" customWidth="1" outlineLevel="2"/>
    <col min="8" max="8" width="11" style="7" hidden="1" customWidth="1" outlineLevel="1" collapsed="1"/>
    <col min="9" max="12" width="11.3984375" style="7" hidden="1" customWidth="1" outlineLevel="2"/>
    <col min="13" max="13" width="11" style="7" hidden="1" customWidth="1" outlineLevel="1" collapsed="1"/>
    <col min="14" max="17" width="11.3984375" style="7" hidden="1" customWidth="1" outlineLevel="2"/>
    <col min="18" max="18" width="11" style="7" hidden="1" customWidth="1" collapsed="1"/>
    <col min="19" max="19" width="10.59765625" style="7" hidden="1" customWidth="1" outlineLevel="1"/>
    <col min="20" max="22" width="11.3984375" style="7" hidden="1" customWidth="1" outlineLevel="1"/>
    <col min="23" max="23" width="11.3984375" style="7" hidden="1" customWidth="1" collapsed="1"/>
    <col min="24" max="25" width="11.3984375" style="7" hidden="1" customWidth="1" outlineLevel="1"/>
    <col min="26" max="27" width="10.59765625" style="7" hidden="1" customWidth="1" outlineLevel="1"/>
    <col min="28" max="28" width="11.3984375" style="7" hidden="1" customWidth="1" collapsed="1"/>
    <col min="29" max="31" width="11.3984375" style="7" hidden="1" customWidth="1" outlineLevel="1"/>
    <col min="32" max="32" width="11" style="7" hidden="1" customWidth="1" outlineLevel="1"/>
    <col min="33" max="33" width="11.3984375" style="7" hidden="1" customWidth="1" collapsed="1"/>
    <col min="34" max="35" width="11.59765625" style="7" hidden="1" customWidth="1" outlineLevel="1"/>
    <col min="36" max="36" width="11.3984375" style="7" hidden="1" customWidth="1" outlineLevel="1"/>
    <col min="37" max="37" width="11.59765625" style="7" hidden="1" customWidth="1" outlineLevel="1"/>
    <col min="38" max="38" width="11.3984375" style="7" hidden="1" customWidth="1" collapsed="1"/>
    <col min="39" max="40" width="11.59765625" style="7" hidden="1" customWidth="1" outlineLevel="1"/>
    <col min="41" max="41" width="11.3984375" style="7" hidden="1" customWidth="1" outlineLevel="1"/>
    <col min="42" max="42" width="11.59765625" style="7" hidden="1" customWidth="1" outlineLevel="1"/>
    <col min="43" max="43" width="11.3984375" style="7" hidden="1" customWidth="1" collapsed="1"/>
    <col min="44" max="45" width="11.59765625" style="7" hidden="1" customWidth="1" outlineLevel="1"/>
    <col min="46" max="46" width="11.3984375" style="7" hidden="1" customWidth="1" outlineLevel="1"/>
    <col min="47" max="47" width="11.59765625" style="7" hidden="1" customWidth="1" outlineLevel="1"/>
    <col min="48" max="48" width="11.3984375" style="7" hidden="1" customWidth="1" collapsed="1"/>
    <col min="49" max="50" width="11.59765625" style="7" hidden="1" customWidth="1" outlineLevel="1"/>
    <col min="51" max="51" width="11.3984375" style="7" hidden="1" customWidth="1" outlineLevel="1"/>
    <col min="52" max="52" width="11.59765625" style="7" hidden="1" customWidth="1" outlineLevel="1"/>
    <col min="53" max="53" width="11.3984375" style="7" hidden="1" customWidth="1" collapsed="1"/>
    <col min="54" max="55" width="11.59765625" style="7" hidden="1" customWidth="1" outlineLevel="1"/>
    <col min="56" max="56" width="11.3984375" style="7" hidden="1" customWidth="1" outlineLevel="1"/>
    <col min="57" max="57" width="11.59765625" style="7" hidden="1" customWidth="1" outlineLevel="1"/>
    <col min="58" max="58" width="11.3984375" style="7" hidden="1" customWidth="1" collapsed="1"/>
    <col min="59" max="60" width="11.59765625" style="7" hidden="1" customWidth="1" outlineLevel="1"/>
    <col min="61" max="61" width="11.3984375" style="7" hidden="1" customWidth="1" outlineLevel="1"/>
    <col min="62" max="62" width="11.59765625" style="7" hidden="1" customWidth="1" outlineLevel="1"/>
    <col min="63" max="63" width="11.3984375" style="7" hidden="1" customWidth="1" collapsed="1"/>
    <col min="64" max="64" width="11" style="7" hidden="1" customWidth="1" outlineLevel="1"/>
    <col min="65" max="65" width="12.1328125" style="7" hidden="1" customWidth="1" outlineLevel="1"/>
    <col min="66" max="66" width="11.59765625" style="7" hidden="1" customWidth="1" outlineLevel="1"/>
    <col min="67" max="67" width="11.3984375" style="7" hidden="1" customWidth="1" outlineLevel="1"/>
    <col min="68" max="68" width="11.3984375" style="7" customWidth="1" collapsed="1"/>
    <col min="69" max="69" width="11" style="7" customWidth="1" outlineLevel="1"/>
    <col min="70" max="70" width="12.1328125" style="7" customWidth="1" outlineLevel="1"/>
    <col min="71" max="71" width="11.59765625" style="7" customWidth="1" outlineLevel="1"/>
    <col min="72" max="72" width="11.3984375" style="7" customWidth="1" outlineLevel="1"/>
    <col min="73" max="73" width="11.3984375" style="7" customWidth="1"/>
    <col min="74" max="74" width="11" style="7" customWidth="1" outlineLevel="1"/>
    <col min="75" max="75" width="12.1328125" style="7" customWidth="1" outlineLevel="1"/>
    <col min="76" max="76" width="11.59765625" style="7" customWidth="1" outlineLevel="1"/>
    <col min="77" max="77" width="11.3984375" style="7" customWidth="1" outlineLevel="1"/>
    <col min="78" max="78" width="11.3984375" style="7" customWidth="1"/>
    <col min="79" max="79" width="11" style="7" hidden="1" customWidth="1" outlineLevel="1"/>
    <col min="80" max="80" width="12.1328125" style="7" hidden="1" customWidth="1" outlineLevel="1"/>
    <col min="81" max="81" width="11.59765625" style="7" hidden="1" customWidth="1" outlineLevel="1"/>
    <col min="82" max="82" width="11.3984375" style="7" hidden="1" customWidth="1" outlineLevel="1"/>
    <col min="83" max="83" width="11.3984375" style="7" customWidth="1" collapsed="1"/>
    <col min="84" max="16384" width="16.3984375" style="7"/>
  </cols>
  <sheetData>
    <row r="1" spans="1:83" ht="12.75">
      <c r="B1" s="206"/>
    </row>
    <row r="2" spans="1:83" ht="15" customHeight="1" thickBot="1">
      <c r="B2" s="643"/>
      <c r="C2" s="643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3"/>
      <c r="S2" s="644"/>
      <c r="T2" s="644"/>
      <c r="U2" s="644"/>
      <c r="V2" s="644"/>
      <c r="W2" s="643"/>
      <c r="X2" s="644"/>
      <c r="Y2" s="644"/>
      <c r="Z2" s="644"/>
      <c r="AA2" s="644"/>
      <c r="AB2" s="643"/>
      <c r="AC2" s="644"/>
      <c r="AD2" s="644"/>
      <c r="AE2" s="644"/>
      <c r="AF2" s="643"/>
      <c r="AG2" s="643"/>
      <c r="AH2" s="643"/>
      <c r="AI2" s="643"/>
      <c r="AJ2" s="643"/>
      <c r="AK2" s="643"/>
      <c r="AL2" s="643"/>
      <c r="AM2" s="643"/>
      <c r="AN2" s="643"/>
      <c r="AO2" s="643"/>
      <c r="AP2" s="643"/>
      <c r="AQ2" s="643"/>
      <c r="AR2" s="644"/>
      <c r="AS2" s="644"/>
      <c r="AT2" s="644"/>
      <c r="AU2" s="644"/>
      <c r="AV2" s="643"/>
      <c r="AW2" s="644"/>
      <c r="AX2" s="644"/>
      <c r="AY2" s="644"/>
      <c r="AZ2" s="644"/>
      <c r="BA2" s="643"/>
      <c r="BB2" s="644"/>
      <c r="BC2" s="644"/>
      <c r="BD2" s="644"/>
      <c r="BE2" s="644"/>
      <c r="BF2" s="643"/>
      <c r="BG2" s="644"/>
      <c r="BH2" s="644"/>
      <c r="BI2" s="644"/>
      <c r="BJ2" s="644"/>
      <c r="BK2" s="643"/>
      <c r="BL2" s="644"/>
      <c r="BM2" s="644"/>
      <c r="BN2" s="644"/>
      <c r="BO2" s="644"/>
      <c r="BP2" s="643"/>
      <c r="BQ2" s="644"/>
      <c r="BR2" s="644"/>
      <c r="BS2" s="644"/>
      <c r="BT2" s="644"/>
      <c r="BU2" s="643"/>
      <c r="BV2" s="644"/>
      <c r="BW2" s="644"/>
      <c r="BX2" s="644"/>
      <c r="BY2" s="644"/>
      <c r="BZ2" s="643"/>
      <c r="CA2" s="644"/>
      <c r="CB2" s="644"/>
      <c r="CC2" s="644"/>
      <c r="CD2" s="644"/>
      <c r="CE2" s="643"/>
    </row>
    <row r="3" spans="1:83" ht="17.25" customHeight="1">
      <c r="B3" s="403" t="s">
        <v>166</v>
      </c>
      <c r="C3" s="404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405"/>
      <c r="S3" s="9"/>
      <c r="T3" s="9"/>
      <c r="U3" s="9"/>
      <c r="V3" s="9"/>
      <c r="W3" s="405"/>
      <c r="X3" s="9"/>
      <c r="Y3" s="9"/>
      <c r="Z3" s="111"/>
      <c r="AA3" s="111"/>
      <c r="AB3" s="405"/>
      <c r="AC3" s="111"/>
      <c r="AD3" s="111"/>
      <c r="AE3" s="111"/>
      <c r="AF3" s="406"/>
      <c r="AG3" s="405"/>
      <c r="AH3" s="405"/>
      <c r="AI3" s="405"/>
      <c r="AJ3" s="405"/>
      <c r="AK3" s="405"/>
      <c r="AL3" s="405"/>
      <c r="AM3" s="405"/>
      <c r="AN3" s="405"/>
      <c r="AO3" s="682"/>
      <c r="AP3" s="405"/>
      <c r="AQ3" s="682"/>
      <c r="AR3" s="9"/>
      <c r="AS3" s="9"/>
      <c r="AT3" s="690"/>
      <c r="AU3" s="692"/>
      <c r="AV3" s="405"/>
      <c r="AW3" s="690"/>
      <c r="AX3" s="690"/>
      <c r="AY3" s="690"/>
      <c r="AZ3" s="9"/>
      <c r="BA3" s="405"/>
      <c r="BB3" s="739"/>
      <c r="BC3" s="739"/>
      <c r="BD3" s="739"/>
      <c r="BE3" s="739"/>
      <c r="BF3" s="740"/>
      <c r="BG3" s="739"/>
      <c r="BH3" s="739"/>
      <c r="BI3" s="739"/>
      <c r="BJ3" s="739"/>
      <c r="BK3" s="740"/>
      <c r="BL3" s="739"/>
      <c r="BM3" s="739"/>
      <c r="BN3" s="739"/>
      <c r="BO3" s="739"/>
      <c r="BP3" s="740"/>
      <c r="BQ3" s="739"/>
      <c r="BR3" s="739"/>
      <c r="BS3" s="739"/>
      <c r="BT3" s="739"/>
      <c r="BU3" s="740"/>
      <c r="BV3" s="739"/>
      <c r="BW3" s="739"/>
      <c r="BX3" s="739"/>
      <c r="BY3" s="739"/>
      <c r="BZ3" s="740"/>
      <c r="CA3" s="739"/>
      <c r="CB3" s="739"/>
      <c r="CC3" s="739"/>
      <c r="CD3" s="739"/>
      <c r="CE3" s="740"/>
    </row>
    <row r="4" spans="1:83" ht="11.25" customHeight="1">
      <c r="B4" s="407" t="s">
        <v>292</v>
      </c>
      <c r="C4" s="407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407"/>
      <c r="S4" s="206"/>
      <c r="T4" s="206"/>
      <c r="U4" s="206"/>
      <c r="V4" s="206"/>
      <c r="W4" s="407"/>
      <c r="X4" s="206"/>
      <c r="Y4" s="206"/>
      <c r="Z4" s="206"/>
      <c r="AA4" s="206"/>
      <c r="AB4" s="407"/>
      <c r="AC4" s="207"/>
      <c r="AD4" s="206"/>
      <c r="AE4" s="206"/>
      <c r="AF4" s="407"/>
      <c r="AG4" s="408"/>
      <c r="AH4" s="407"/>
      <c r="AI4" s="407"/>
      <c r="AJ4" s="407"/>
      <c r="AK4" s="407"/>
      <c r="AL4" s="409"/>
      <c r="AM4" s="407"/>
      <c r="AN4" s="407"/>
      <c r="AO4" s="407"/>
      <c r="AP4" s="407"/>
      <c r="AQ4" s="408"/>
      <c r="AR4" s="206"/>
      <c r="AS4" s="206"/>
      <c r="AT4" s="206"/>
      <c r="AU4" s="206"/>
      <c r="AV4" s="691"/>
      <c r="AW4" s="408"/>
      <c r="AX4" s="206"/>
      <c r="AY4" s="206"/>
      <c r="AZ4" s="206"/>
      <c r="BA4" s="408"/>
      <c r="BB4" s="738"/>
      <c r="BC4" s="738"/>
      <c r="BD4" s="738"/>
      <c r="BE4" s="738"/>
      <c r="BF4" s="408"/>
      <c r="BG4" s="738"/>
      <c r="BH4" s="738"/>
      <c r="BI4" s="738"/>
      <c r="BJ4" s="738"/>
      <c r="BK4" s="782"/>
      <c r="BL4" s="738"/>
      <c r="BM4" s="738"/>
      <c r="BN4" s="738"/>
      <c r="BO4" s="738"/>
      <c r="BP4" s="782"/>
      <c r="BQ4" s="738"/>
      <c r="BR4" s="738"/>
      <c r="BS4" s="738"/>
      <c r="BT4" s="738"/>
      <c r="BU4" s="782"/>
      <c r="BV4" s="738"/>
      <c r="BW4" s="738"/>
      <c r="BX4" s="738"/>
      <c r="BY4" s="738"/>
      <c r="BZ4" s="782"/>
      <c r="CA4" s="738"/>
      <c r="CB4" s="738"/>
      <c r="CC4" s="738"/>
      <c r="CD4" s="738"/>
      <c r="CE4" s="782"/>
    </row>
    <row r="5" spans="1:83" ht="12.75" customHeight="1">
      <c r="B5" s="407"/>
      <c r="C5" s="407"/>
      <c r="D5" s="208" t="s">
        <v>180</v>
      </c>
      <c r="E5" s="209"/>
      <c r="F5" s="210"/>
      <c r="G5" s="210"/>
      <c r="H5" s="211" t="s">
        <v>239</v>
      </c>
      <c r="I5" s="208" t="s">
        <v>172</v>
      </c>
      <c r="J5" s="209"/>
      <c r="K5" s="210"/>
      <c r="L5" s="210"/>
      <c r="M5" s="211" t="s">
        <v>239</v>
      </c>
      <c r="N5" s="208" t="s">
        <v>94</v>
      </c>
      <c r="O5" s="209"/>
      <c r="P5" s="210"/>
      <c r="Q5" s="210"/>
      <c r="R5" s="408" t="s">
        <v>239</v>
      </c>
      <c r="S5" s="208" t="s">
        <v>95</v>
      </c>
      <c r="T5" s="209"/>
      <c r="U5" s="210"/>
      <c r="V5" s="210"/>
      <c r="W5" s="494" t="s">
        <v>239</v>
      </c>
      <c r="X5" s="208" t="s">
        <v>116</v>
      </c>
      <c r="Y5" s="209"/>
      <c r="Z5" s="210"/>
      <c r="AA5" s="210"/>
      <c r="AB5" s="494" t="s">
        <v>239</v>
      </c>
      <c r="AC5" s="208" t="s">
        <v>139</v>
      </c>
      <c r="AD5" s="209"/>
      <c r="AE5" s="210"/>
      <c r="AF5" s="410"/>
      <c r="AG5" s="494" t="s">
        <v>239</v>
      </c>
      <c r="AH5" s="411" t="s">
        <v>284</v>
      </c>
      <c r="AI5" s="412"/>
      <c r="AJ5" s="410"/>
      <c r="AK5" s="410"/>
      <c r="AL5" s="470" t="s">
        <v>239</v>
      </c>
      <c r="AM5" s="411" t="s">
        <v>368</v>
      </c>
      <c r="AN5" s="412"/>
      <c r="AO5" s="410"/>
      <c r="AP5" s="410"/>
      <c r="AQ5" s="470" t="s">
        <v>239</v>
      </c>
      <c r="AR5" s="208" t="s">
        <v>406</v>
      </c>
      <c r="AS5" s="209"/>
      <c r="AT5" s="210"/>
      <c r="AU5" s="210"/>
      <c r="AV5" s="470" t="s">
        <v>239</v>
      </c>
      <c r="AW5" s="208" t="s">
        <v>419</v>
      </c>
      <c r="AX5" s="209"/>
      <c r="AY5" s="210"/>
      <c r="AZ5" s="210"/>
      <c r="BA5" s="470" t="s">
        <v>239</v>
      </c>
      <c r="BB5" s="208" t="s">
        <v>428</v>
      </c>
      <c r="BC5" s="209"/>
      <c r="BD5" s="210"/>
      <c r="BE5" s="210"/>
      <c r="BF5" s="470" t="s">
        <v>239</v>
      </c>
      <c r="BG5" s="208" t="s">
        <v>442</v>
      </c>
      <c r="BH5" s="209"/>
      <c r="BI5" s="210"/>
      <c r="BJ5" s="210"/>
      <c r="BK5" s="470" t="s">
        <v>239</v>
      </c>
      <c r="BL5" s="208" t="s">
        <v>473</v>
      </c>
      <c r="BM5" s="209"/>
      <c r="BN5" s="210"/>
      <c r="BO5" s="210"/>
      <c r="BP5" s="470" t="s">
        <v>239</v>
      </c>
      <c r="BQ5" s="208" t="s">
        <v>505</v>
      </c>
      <c r="BR5" s="209"/>
      <c r="BS5" s="210"/>
      <c r="BT5" s="210"/>
      <c r="BU5" s="470" t="s">
        <v>239</v>
      </c>
      <c r="BV5" s="208" t="s">
        <v>475</v>
      </c>
      <c r="BW5" s="209"/>
      <c r="BX5" s="210"/>
      <c r="BY5" s="210"/>
      <c r="BZ5" s="470" t="s">
        <v>239</v>
      </c>
      <c r="CA5" s="208" t="s">
        <v>518</v>
      </c>
      <c r="CB5" s="209"/>
      <c r="CC5" s="210"/>
      <c r="CD5" s="210"/>
      <c r="CE5" s="470" t="s">
        <v>239</v>
      </c>
    </row>
    <row r="6" spans="1:83" ht="12.75" customHeight="1">
      <c r="B6" s="407"/>
      <c r="C6" s="407"/>
      <c r="D6" s="211" t="s">
        <v>176</v>
      </c>
      <c r="E6" s="211" t="s">
        <v>177</v>
      </c>
      <c r="F6" s="211" t="s">
        <v>178</v>
      </c>
      <c r="G6" s="211" t="s">
        <v>179</v>
      </c>
      <c r="H6" s="211" t="s">
        <v>180</v>
      </c>
      <c r="I6" s="211" t="s">
        <v>181</v>
      </c>
      <c r="J6" s="211" t="s">
        <v>175</v>
      </c>
      <c r="K6" s="211" t="s">
        <v>174</v>
      </c>
      <c r="L6" s="211" t="s">
        <v>173</v>
      </c>
      <c r="M6" s="211" t="s">
        <v>172</v>
      </c>
      <c r="N6" s="211" t="s">
        <v>143</v>
      </c>
      <c r="O6" s="211" t="s">
        <v>144</v>
      </c>
      <c r="P6" s="211" t="s">
        <v>146</v>
      </c>
      <c r="Q6" s="211" t="s">
        <v>145</v>
      </c>
      <c r="R6" s="408" t="s">
        <v>94</v>
      </c>
      <c r="S6" s="211" t="s">
        <v>147</v>
      </c>
      <c r="T6" s="211" t="s">
        <v>148</v>
      </c>
      <c r="U6" s="211" t="s">
        <v>149</v>
      </c>
      <c r="V6" s="211" t="s">
        <v>150</v>
      </c>
      <c r="W6" s="494" t="s">
        <v>95</v>
      </c>
      <c r="X6" s="211" t="s">
        <v>151</v>
      </c>
      <c r="Y6" s="211" t="s">
        <v>152</v>
      </c>
      <c r="Z6" s="211" t="s">
        <v>153</v>
      </c>
      <c r="AA6" s="211" t="s">
        <v>154</v>
      </c>
      <c r="AB6" s="494" t="s">
        <v>116</v>
      </c>
      <c r="AC6" s="211" t="s">
        <v>155</v>
      </c>
      <c r="AD6" s="211" t="s">
        <v>195</v>
      </c>
      <c r="AE6" s="211" t="s">
        <v>269</v>
      </c>
      <c r="AF6" s="408" t="s">
        <v>278</v>
      </c>
      <c r="AG6" s="494" t="s">
        <v>139</v>
      </c>
      <c r="AH6" s="408" t="s">
        <v>283</v>
      </c>
      <c r="AI6" s="408" t="s">
        <v>332</v>
      </c>
      <c r="AJ6" s="408" t="s">
        <v>345</v>
      </c>
      <c r="AK6" s="455" t="s">
        <v>352</v>
      </c>
      <c r="AL6" s="470" t="s">
        <v>284</v>
      </c>
      <c r="AM6" s="408" t="s">
        <v>367</v>
      </c>
      <c r="AN6" s="455" t="s">
        <v>369</v>
      </c>
      <c r="AO6" s="455" t="s">
        <v>381</v>
      </c>
      <c r="AP6" s="408" t="s">
        <v>401</v>
      </c>
      <c r="AQ6" s="470" t="s">
        <v>368</v>
      </c>
      <c r="AR6" s="211" t="s">
        <v>405</v>
      </c>
      <c r="AS6" s="467" t="s">
        <v>407</v>
      </c>
      <c r="AT6" s="467" t="s">
        <v>408</v>
      </c>
      <c r="AU6" s="211" t="s">
        <v>414</v>
      </c>
      <c r="AV6" s="470" t="s">
        <v>406</v>
      </c>
      <c r="AW6" s="211" t="s">
        <v>418</v>
      </c>
      <c r="AX6" s="211" t="s">
        <v>420</v>
      </c>
      <c r="AY6" s="211" t="s">
        <v>425</v>
      </c>
      <c r="AZ6" s="211" t="s">
        <v>426</v>
      </c>
      <c r="BA6" s="470" t="s">
        <v>419</v>
      </c>
      <c r="BB6" s="211" t="s">
        <v>427</v>
      </c>
      <c r="BC6" s="211" t="s">
        <v>429</v>
      </c>
      <c r="BD6" s="211" t="s">
        <v>431</v>
      </c>
      <c r="BE6" s="211" t="s">
        <v>435</v>
      </c>
      <c r="BF6" s="470" t="s">
        <v>428</v>
      </c>
      <c r="BG6" s="211" t="s">
        <v>441</v>
      </c>
      <c r="BH6" s="211" t="s">
        <v>464</v>
      </c>
      <c r="BI6" s="211" t="s">
        <v>466</v>
      </c>
      <c r="BJ6" s="211" t="s">
        <v>467</v>
      </c>
      <c r="BK6" s="470" t="s">
        <v>442</v>
      </c>
      <c r="BL6" s="211" t="s">
        <v>472</v>
      </c>
      <c r="BM6" s="211" t="s">
        <v>481</v>
      </c>
      <c r="BN6" s="211" t="s">
        <v>485</v>
      </c>
      <c r="BO6" s="211" t="s">
        <v>503</v>
      </c>
      <c r="BP6" s="470" t="s">
        <v>473</v>
      </c>
      <c r="BQ6" s="211" t="s">
        <v>504</v>
      </c>
      <c r="BR6" s="211" t="s">
        <v>542</v>
      </c>
      <c r="BS6" s="211" t="s">
        <v>544</v>
      </c>
      <c r="BT6" s="211" t="s">
        <v>553</v>
      </c>
      <c r="BU6" s="470" t="s">
        <v>505</v>
      </c>
      <c r="BV6" s="211" t="s">
        <v>476</v>
      </c>
      <c r="BW6" s="211" t="s">
        <v>477</v>
      </c>
      <c r="BX6" s="211" t="s">
        <v>478</v>
      </c>
      <c r="BY6" s="211" t="s">
        <v>479</v>
      </c>
      <c r="BZ6" s="470" t="s">
        <v>475</v>
      </c>
      <c r="CA6" s="211" t="s">
        <v>519</v>
      </c>
      <c r="CB6" s="211" t="s">
        <v>520</v>
      </c>
      <c r="CC6" s="211" t="s">
        <v>521</v>
      </c>
      <c r="CD6" s="211" t="s">
        <v>522</v>
      </c>
      <c r="CE6" s="470" t="s">
        <v>518</v>
      </c>
    </row>
    <row r="7" spans="1:83" ht="13.15" outlineLevel="1">
      <c r="A7" s="240"/>
      <c r="B7" s="413" t="s">
        <v>391</v>
      </c>
      <c r="C7" s="413"/>
      <c r="D7" s="237"/>
      <c r="E7" s="237"/>
      <c r="F7" s="237"/>
      <c r="G7" s="237"/>
      <c r="H7" s="237">
        <f>+'Billings &amp; Recs'!H21</f>
        <v>101200</v>
      </c>
      <c r="I7" s="237"/>
      <c r="J7" s="237"/>
      <c r="K7" s="237"/>
      <c r="L7" s="237"/>
      <c r="M7" s="237">
        <f>+'Billings &amp; Recs'!M21</f>
        <v>118970</v>
      </c>
      <c r="N7" s="237">
        <f>+'Billings &amp; Recs'!N21</f>
        <v>34261</v>
      </c>
      <c r="O7" s="237">
        <f>+'Billings &amp; Recs'!O21</f>
        <v>32745</v>
      </c>
      <c r="P7" s="237">
        <f>+'Billings &amp; Recs'!P21</f>
        <v>36832</v>
      </c>
      <c r="Q7" s="237">
        <f>+'Billings &amp; Recs'!Q21</f>
        <v>43383</v>
      </c>
      <c r="R7" s="414">
        <f>+'Billings &amp; Recs'!R21</f>
        <v>147221</v>
      </c>
      <c r="S7" s="237">
        <f>+'Billings &amp; Recs'!S21</f>
        <v>44275</v>
      </c>
      <c r="T7" s="237">
        <f>+'Billings &amp; Recs'!T21</f>
        <v>39359</v>
      </c>
      <c r="U7" s="237">
        <f>+'Billings &amp; Recs'!U21</f>
        <v>46997</v>
      </c>
      <c r="V7" s="237">
        <f>+'Billings &amp; Recs'!V21</f>
        <v>50531</v>
      </c>
      <c r="W7" s="495">
        <f>+'Billings &amp; Recs'!W21</f>
        <v>181162</v>
      </c>
      <c r="X7" s="237">
        <f>+'Billings &amp; Recs'!X21</f>
        <v>49780</v>
      </c>
      <c r="Y7" s="237">
        <f>+'Billings &amp; Recs'!Y21</f>
        <v>50662</v>
      </c>
      <c r="Z7" s="237">
        <f>+'Billings &amp; Recs'!Z21</f>
        <v>56260</v>
      </c>
      <c r="AA7" s="237">
        <f>+'Billings &amp; Recs'!AA21</f>
        <v>58162</v>
      </c>
      <c r="AB7" s="495">
        <f>+'Billings &amp; Recs'!AB21</f>
        <v>214864</v>
      </c>
      <c r="AC7" s="237">
        <f>+'Billings &amp; Recs'!AC21</f>
        <v>58201</v>
      </c>
      <c r="AD7" s="237">
        <f>+'Billings &amp; Recs'!AD21</f>
        <v>59996</v>
      </c>
      <c r="AE7" s="237">
        <f>+'Billings &amp; Recs'!AE21</f>
        <v>66919</v>
      </c>
      <c r="AF7" s="414">
        <f>+'Billings &amp; Recs'!AF21</f>
        <v>73934</v>
      </c>
      <c r="AG7" s="495">
        <f>+'Billings &amp; Recs'!AG21</f>
        <v>259050</v>
      </c>
      <c r="AH7" s="414">
        <f>+'Billings &amp; Recs'!AH21</f>
        <v>69348</v>
      </c>
      <c r="AI7" s="414">
        <f>+'Billings &amp; Recs'!AI21</f>
        <v>71916</v>
      </c>
      <c r="AJ7" s="414">
        <f>+'Billings &amp; Recs'!AJ21</f>
        <v>75354</v>
      </c>
      <c r="AK7" s="414">
        <f>+'Billings &amp; Recs'!AK21</f>
        <v>83709</v>
      </c>
      <c r="AL7" s="471">
        <f>+'Billings &amp; Recs'!AL21</f>
        <v>300327</v>
      </c>
      <c r="AM7" s="414">
        <f>+'Billings &amp; Recs'!AM21</f>
        <v>85171</v>
      </c>
      <c r="AN7" s="461">
        <f>+'Billings &amp; Recs'!AN21</f>
        <v>81086</v>
      </c>
      <c r="AO7" s="461">
        <f>+'Billings &amp; Recs'!AO21</f>
        <v>86366</v>
      </c>
      <c r="AP7" s="414">
        <f>+'Billings &amp; Recs'!AP21</f>
        <v>96532</v>
      </c>
      <c r="AQ7" s="471">
        <f>+'Billings &amp; Recs'!AQ21</f>
        <v>349155</v>
      </c>
      <c r="AR7" s="237">
        <f>+'Billings &amp; Recs'!AR21</f>
        <v>95952</v>
      </c>
      <c r="AS7" s="460">
        <f>+'Billings &amp; Recs'!AS21</f>
        <v>86701</v>
      </c>
      <c r="AT7" s="460">
        <f>+'Billings &amp; Recs'!AT21</f>
        <v>93620</v>
      </c>
      <c r="AU7" s="237">
        <f>+'Billings &amp; Recs'!AU21</f>
        <v>108012</v>
      </c>
      <c r="AV7" s="471">
        <f>+'Billings &amp; Recs'!AV21</f>
        <v>384285</v>
      </c>
      <c r="AW7" s="237">
        <f>+'Billings &amp; Recs'!AW21</f>
        <v>102160</v>
      </c>
      <c r="AX7" s="237">
        <f>+'Billings &amp; Recs'!AX21</f>
        <v>108984</v>
      </c>
      <c r="AY7" s="237">
        <f>+'Billings &amp; Recs'!AY21</f>
        <v>114293</v>
      </c>
      <c r="AZ7" s="237">
        <f>+'Billings &amp; Recs'!AZ21</f>
        <v>130113</v>
      </c>
      <c r="BA7" s="471">
        <f>+'Billings &amp; Recs'!BA21</f>
        <v>455550</v>
      </c>
      <c r="BB7" s="237">
        <f>+'Billings &amp; Recs'!BB21</f>
        <v>122482</v>
      </c>
      <c r="BC7" s="237">
        <f>+'Billings &amp; Recs'!BC21</f>
        <v>128684</v>
      </c>
      <c r="BD7" s="237">
        <f>+'Billings &amp; Recs'!BD21</f>
        <v>128783</v>
      </c>
      <c r="BE7" s="237">
        <f>+'Billings &amp; Recs'!BE21</f>
        <v>145630</v>
      </c>
      <c r="BF7" s="471">
        <f>+'Billings &amp; Recs'!BF21</f>
        <v>525579</v>
      </c>
      <c r="BG7" s="237">
        <f>+'Billings &amp; Recs'!BG21</f>
        <v>133471</v>
      </c>
      <c r="BH7" s="237">
        <f>+'Billings &amp; Recs'!BH21</f>
        <v>143139</v>
      </c>
      <c r="BI7" s="237">
        <f>+'Billings &amp; Recs'!BI21</f>
        <v>146729</v>
      </c>
      <c r="BJ7" s="237">
        <f>+'Billings &amp; Recs'!BJ21</f>
        <v>170658</v>
      </c>
      <c r="BK7" s="471">
        <f>+'Billings &amp; Recs'!BK21</f>
        <v>593997</v>
      </c>
      <c r="BL7" s="237">
        <f>+'Billings &amp; Recs'!BL21</f>
        <v>144666</v>
      </c>
      <c r="BM7" s="237">
        <f>+'Billings &amp; Recs'!BM21</f>
        <v>140914</v>
      </c>
      <c r="BN7" s="237">
        <f>+'Billings &amp; Recs'!BN21</f>
        <v>167354</v>
      </c>
      <c r="BO7" s="237">
        <f>+'Billings &amp; Recs'!BO21</f>
        <v>192827</v>
      </c>
      <c r="BP7" s="471">
        <f>+'Billings &amp; Recs'!BP21</f>
        <v>645761</v>
      </c>
      <c r="BQ7" s="237">
        <f>+'Billings &amp; Recs'!BQ21</f>
        <v>155266</v>
      </c>
      <c r="BR7" s="237">
        <f>+'Billings &amp; Recs'!BR21</f>
        <v>152209</v>
      </c>
      <c r="BS7" s="237">
        <f>+'Billings &amp; Recs'!BS21</f>
        <v>186387</v>
      </c>
      <c r="BT7" s="237">
        <f>+'Billings &amp; Recs'!BT21</f>
        <v>204933</v>
      </c>
      <c r="BU7" s="471">
        <f>+'Billings &amp; Recs'!BU21</f>
        <v>698795</v>
      </c>
      <c r="BV7" s="237">
        <f>+'Billings &amp; Recs'!BV21</f>
        <v>168533.33500000008</v>
      </c>
      <c r="BW7" s="237">
        <f>+'Billings &amp; Recs'!BW21</f>
        <v>164385.72000000009</v>
      </c>
      <c r="BX7" s="237">
        <f>+'Billings &amp; Recs'!BX21</f>
        <v>200448.54999999993</v>
      </c>
      <c r="BY7" s="237">
        <f>+'Billings &amp; Recs'!BY21</f>
        <v>217569.185</v>
      </c>
      <c r="BZ7" s="471">
        <f>+'Billings &amp; Recs'!BZ21</f>
        <v>750936.79</v>
      </c>
      <c r="CA7" s="237">
        <f>+'Billings &amp; Recs'!CA21</f>
        <v>180059.93760000012</v>
      </c>
      <c r="CB7" s="237">
        <f>+'Billings &amp; Recs'!CB21</f>
        <v>175892.72039999993</v>
      </c>
      <c r="CC7" s="237">
        <f>+'Billings &amp; Recs'!CC21</f>
        <v>212653.717</v>
      </c>
      <c r="CD7" s="237">
        <f>+'Billings &amp; Recs'!CD21</f>
        <v>230923.51055000001</v>
      </c>
      <c r="CE7" s="471">
        <f>+'Billings &amp; Recs'!CE21</f>
        <v>799529.88555000024</v>
      </c>
    </row>
    <row r="8" spans="1:83" ht="13.15" outlineLevel="1">
      <c r="A8" s="240"/>
      <c r="B8" s="241"/>
      <c r="C8" s="242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496"/>
      <c r="X8" s="237"/>
      <c r="Y8" s="237"/>
      <c r="Z8" s="237"/>
      <c r="AA8" s="237"/>
      <c r="AB8" s="496"/>
      <c r="AC8" s="237"/>
      <c r="AD8" s="237"/>
      <c r="AE8" s="237"/>
      <c r="AF8" s="237"/>
      <c r="AG8" s="496"/>
      <c r="AH8" s="237"/>
      <c r="AI8" s="237"/>
      <c r="AJ8" s="237"/>
      <c r="AK8" s="237"/>
      <c r="AL8" s="472"/>
      <c r="AM8" s="237"/>
      <c r="AN8" s="460"/>
      <c r="AO8" s="460"/>
      <c r="AP8" s="237"/>
      <c r="AQ8" s="472"/>
      <c r="AR8" s="237"/>
      <c r="AS8" s="460"/>
      <c r="AT8" s="460"/>
      <c r="AU8" s="237"/>
      <c r="AV8" s="472"/>
      <c r="AW8" s="237"/>
      <c r="AX8" s="237"/>
      <c r="AY8" s="237"/>
      <c r="AZ8" s="237"/>
      <c r="BA8" s="472"/>
      <c r="BB8" s="237"/>
      <c r="BC8" s="237"/>
      <c r="BD8" s="237"/>
      <c r="BE8" s="237"/>
      <c r="BF8" s="472"/>
      <c r="BG8" s="237"/>
      <c r="BH8" s="237"/>
      <c r="BI8" s="237"/>
      <c r="BJ8" s="237"/>
      <c r="BK8" s="472"/>
      <c r="BL8" s="237"/>
      <c r="BM8" s="237"/>
      <c r="BN8" s="237"/>
      <c r="BO8" s="237"/>
      <c r="BP8" s="472"/>
      <c r="BQ8" s="237"/>
      <c r="BR8" s="237"/>
      <c r="BS8" s="237"/>
      <c r="BT8" s="237"/>
      <c r="BU8" s="472"/>
      <c r="BV8" s="237"/>
      <c r="BW8" s="237"/>
      <c r="BX8" s="237"/>
      <c r="BY8" s="237"/>
      <c r="BZ8" s="472"/>
      <c r="CA8" s="237"/>
      <c r="CB8" s="237"/>
      <c r="CC8" s="237"/>
      <c r="CD8" s="237"/>
      <c r="CE8" s="472"/>
    </row>
    <row r="9" spans="1:83" ht="12.6" customHeight="1">
      <c r="B9" s="415" t="s">
        <v>157</v>
      </c>
      <c r="C9" s="415"/>
      <c r="D9" s="237">
        <v>21191</v>
      </c>
      <c r="E9" s="237">
        <v>22190</v>
      </c>
      <c r="F9" s="237">
        <v>23382</v>
      </c>
      <c r="G9" s="237">
        <v>24657</v>
      </c>
      <c r="H9" s="237">
        <f>+G9+F9+E9+D9</f>
        <v>91420</v>
      </c>
      <c r="I9" s="237">
        <v>24883</v>
      </c>
      <c r="J9" s="237">
        <v>26291</v>
      </c>
      <c r="K9" s="237">
        <v>27749</v>
      </c>
      <c r="L9" s="237">
        <v>29039.000000000011</v>
      </c>
      <c r="M9" s="237">
        <f>+L9+K9+J9+I9</f>
        <v>107962.00000000001</v>
      </c>
      <c r="N9" s="237">
        <v>30356</v>
      </c>
      <c r="O9" s="237">
        <v>32302</v>
      </c>
      <c r="P9" s="237">
        <v>34348</v>
      </c>
      <c r="Q9" s="237">
        <v>36573</v>
      </c>
      <c r="R9" s="414">
        <f>+Q9+P9+O9+N9</f>
        <v>133579</v>
      </c>
      <c r="S9" s="237">
        <v>37493</v>
      </c>
      <c r="T9" s="237">
        <v>39877</v>
      </c>
      <c r="U9" s="237">
        <v>42469</v>
      </c>
      <c r="V9" s="237">
        <v>44445</v>
      </c>
      <c r="W9" s="495">
        <f>+V9+U9+T9+S9</f>
        <v>164284</v>
      </c>
      <c r="X9" s="237">
        <v>46248</v>
      </c>
      <c r="Y9" s="237">
        <v>48466</v>
      </c>
      <c r="Z9" s="237">
        <v>50987</v>
      </c>
      <c r="AA9" s="237">
        <v>52224</v>
      </c>
      <c r="AB9" s="495">
        <f>+AA9+Z9+Y9+X9</f>
        <v>197925</v>
      </c>
      <c r="AC9" s="237">
        <v>53121</v>
      </c>
      <c r="AD9" s="237">
        <v>55302</v>
      </c>
      <c r="AE9" s="237">
        <v>59490</v>
      </c>
      <c r="AF9" s="414">
        <v>62915</v>
      </c>
      <c r="AG9" s="495">
        <f>+AF9+AE9+AD9+AC9</f>
        <v>230828</v>
      </c>
      <c r="AH9" s="414">
        <v>64878</v>
      </c>
      <c r="AI9" s="414">
        <v>68153</v>
      </c>
      <c r="AJ9" s="414">
        <v>71658</v>
      </c>
      <c r="AK9" s="414">
        <v>74200</v>
      </c>
      <c r="AL9" s="471">
        <f>+AK9+AJ9+AI9+AH9</f>
        <v>278889</v>
      </c>
      <c r="AM9" s="414">
        <v>75343</v>
      </c>
      <c r="AN9" s="461">
        <v>78929</v>
      </c>
      <c r="AO9" s="461">
        <f>82671</f>
        <v>82671</v>
      </c>
      <c r="AP9" s="414">
        <v>84664</v>
      </c>
      <c r="AQ9" s="471">
        <f>+AP9+AO9+AN9+AM9</f>
        <v>321607</v>
      </c>
      <c r="AR9" s="460">
        <v>86263</v>
      </c>
      <c r="AS9" s="460">
        <v>88830</v>
      </c>
      <c r="AT9" s="460">
        <f>93069</f>
        <v>93069</v>
      </c>
      <c r="AU9" s="237">
        <f>94801</f>
        <v>94801</v>
      </c>
      <c r="AV9" s="471">
        <f>+AU9+AT9+AS9+AR9</f>
        <v>362963</v>
      </c>
      <c r="AW9" s="460">
        <f>96756</f>
        <v>96756</v>
      </c>
      <c r="AX9" s="237">
        <f>99702</f>
        <v>99702</v>
      </c>
      <c r="AY9" s="237">
        <f>104934</f>
        <v>104934</v>
      </c>
      <c r="AZ9" s="237">
        <f>109780</f>
        <v>109780</v>
      </c>
      <c r="BA9" s="471">
        <f>+AZ9+AY9+AX9+AW9</f>
        <v>411172</v>
      </c>
      <c r="BB9" s="237">
        <f>113420</f>
        <v>113420</v>
      </c>
      <c r="BC9" s="237">
        <f>119893</f>
        <v>119893</v>
      </c>
      <c r="BD9" s="237">
        <f>125561</f>
        <v>125561</v>
      </c>
      <c r="BE9" s="237">
        <f>130849</f>
        <v>130849</v>
      </c>
      <c r="BF9" s="471">
        <f>+BE9+BD9+BC9+BB9</f>
        <v>489723</v>
      </c>
      <c r="BG9" s="237">
        <f>130683</f>
        <v>130683</v>
      </c>
      <c r="BH9" s="237">
        <f>137209</f>
        <v>137209</v>
      </c>
      <c r="BI9" s="237">
        <f>141996</f>
        <v>141996</v>
      </c>
      <c r="BJ9" s="237">
        <f>144570</f>
        <v>144570</v>
      </c>
      <c r="BK9" s="471">
        <f>+BJ9+BI9+BH9+BG9</f>
        <v>554458</v>
      </c>
      <c r="BL9" s="237">
        <f>145805</f>
        <v>145805</v>
      </c>
      <c r="BM9" s="237">
        <f>148708</f>
        <v>148708</v>
      </c>
      <c r="BN9" s="237">
        <f>153867</f>
        <v>153867</v>
      </c>
      <c r="BO9" s="237">
        <f>159191</f>
        <v>159191</v>
      </c>
      <c r="BP9" s="471">
        <f>+BO9+BN9+BM9+BL9</f>
        <v>607571</v>
      </c>
      <c r="BQ9" s="237">
        <f>159899</f>
        <v>159899</v>
      </c>
      <c r="BR9" s="237">
        <f>164062</f>
        <v>164062</v>
      </c>
      <c r="BS9" s="237">
        <f>169882</f>
        <v>169882</v>
      </c>
      <c r="BT9" s="237">
        <f>175282</f>
        <v>175282</v>
      </c>
      <c r="BU9" s="471">
        <f>+BT9+BS9+BR9+BQ9</f>
        <v>669125</v>
      </c>
      <c r="BV9" s="237">
        <f>+BQ9*(1+BV10)</f>
        <v>173490.41500000001</v>
      </c>
      <c r="BW9" s="237">
        <f t="shared" ref="BW9" si="0">+BR9*(1+BW10)</f>
        <v>177186.96000000002</v>
      </c>
      <c r="BX9" s="237">
        <f t="shared" ref="BX9" si="1">+BS9*(1+BX10)</f>
        <v>182623.15</v>
      </c>
      <c r="BY9" s="237">
        <f t="shared" ref="BY9" si="2">+BT9*(1+BY10)</f>
        <v>187551.74000000002</v>
      </c>
      <c r="BZ9" s="471">
        <f>+BY9+BX9+BW9+BV9</f>
        <v>720852.26500000013</v>
      </c>
      <c r="CA9" s="237">
        <f>+BV9*(1+CA10)</f>
        <v>187369.64820000003</v>
      </c>
      <c r="CB9" s="237">
        <f t="shared" ref="CB9" si="3">+BW9*(1+CB10)</f>
        <v>189590.04720000003</v>
      </c>
      <c r="CC9" s="237">
        <f t="shared" ref="CC9" si="4">+BX9*(1+CC10)</f>
        <v>193580.53899999999</v>
      </c>
      <c r="CD9" s="237">
        <f t="shared" ref="CD9" si="5">+BY9*(1+CD10)</f>
        <v>198804.84440000003</v>
      </c>
      <c r="CE9" s="471">
        <f>+CD9+CC9+CB9+CA9</f>
        <v>769345.07880000013</v>
      </c>
    </row>
    <row r="10" spans="1:83" ht="12.6" customHeight="1" outlineLevel="1">
      <c r="B10" s="275" t="s">
        <v>128</v>
      </c>
      <c r="C10" s="218"/>
      <c r="D10" s="171"/>
      <c r="E10" s="171"/>
      <c r="F10" s="171"/>
      <c r="G10" s="171"/>
      <c r="H10" s="171"/>
      <c r="I10" s="379">
        <f t="shared" ref="I10:AE10" si="6">+I9/D9-1</f>
        <v>0.17422490680005653</v>
      </c>
      <c r="J10" s="379">
        <f t="shared" si="6"/>
        <v>0.18481297881928804</v>
      </c>
      <c r="K10" s="379">
        <f t="shared" si="6"/>
        <v>0.18676759900778372</v>
      </c>
      <c r="L10" s="379">
        <f t="shared" si="6"/>
        <v>0.17771829500750336</v>
      </c>
      <c r="M10" s="379">
        <f t="shared" si="6"/>
        <v>0.18094508860205649</v>
      </c>
      <c r="N10" s="379">
        <f t="shared" si="6"/>
        <v>0.21994936301892865</v>
      </c>
      <c r="O10" s="379">
        <f t="shared" si="6"/>
        <v>0.22863337263702399</v>
      </c>
      <c r="P10" s="379">
        <f t="shared" si="6"/>
        <v>0.23781037154492046</v>
      </c>
      <c r="Q10" s="379">
        <f t="shared" si="6"/>
        <v>0.25944419573676725</v>
      </c>
      <c r="R10" s="379">
        <f t="shared" si="6"/>
        <v>0.23727793112391371</v>
      </c>
      <c r="S10" s="379">
        <f t="shared" si="6"/>
        <v>0.23511002767163003</v>
      </c>
      <c r="T10" s="379">
        <f t="shared" si="6"/>
        <v>0.23450560336821247</v>
      </c>
      <c r="U10" s="379">
        <f t="shared" si="6"/>
        <v>0.23643298008617686</v>
      </c>
      <c r="V10" s="379">
        <f t="shared" si="6"/>
        <v>0.21524075137396448</v>
      </c>
      <c r="W10" s="497">
        <f t="shared" si="6"/>
        <v>0.22986397562491101</v>
      </c>
      <c r="X10" s="379">
        <f t="shared" si="6"/>
        <v>0.23351025524764624</v>
      </c>
      <c r="Y10" s="379">
        <f t="shared" si="6"/>
        <v>0.21538731599668992</v>
      </c>
      <c r="Z10" s="379">
        <f t="shared" si="6"/>
        <v>0.20056982740351792</v>
      </c>
      <c r="AA10" s="379">
        <f t="shared" si="6"/>
        <v>0.17502531218359763</v>
      </c>
      <c r="AB10" s="497">
        <f t="shared" si="6"/>
        <v>0.20477344111416818</v>
      </c>
      <c r="AC10" s="379">
        <f t="shared" si="6"/>
        <v>0.14861183186299942</v>
      </c>
      <c r="AD10" s="379">
        <f t="shared" si="6"/>
        <v>0.14104733215037335</v>
      </c>
      <c r="AE10" s="379">
        <f t="shared" si="6"/>
        <v>0.1667679996861946</v>
      </c>
      <c r="AF10" s="394">
        <f t="shared" ref="AF10:BT10" si="7">+AF9/AA9-1</f>
        <v>0.20471430759803932</v>
      </c>
      <c r="AG10" s="497">
        <f t="shared" si="7"/>
        <v>0.16623973727421992</v>
      </c>
      <c r="AH10" s="394">
        <f t="shared" si="7"/>
        <v>0.22132489975715819</v>
      </c>
      <c r="AI10" s="394">
        <f t="shared" si="7"/>
        <v>0.23237857582004273</v>
      </c>
      <c r="AJ10" s="394">
        <f t="shared" si="7"/>
        <v>0.20453857791225416</v>
      </c>
      <c r="AK10" s="394">
        <f t="shared" si="7"/>
        <v>0.17936898990701744</v>
      </c>
      <c r="AL10" s="473">
        <f t="shared" si="7"/>
        <v>0.20821130885334527</v>
      </c>
      <c r="AM10" s="379">
        <f t="shared" si="7"/>
        <v>0.16130275285921258</v>
      </c>
      <c r="AN10" s="379">
        <f t="shared" si="7"/>
        <v>0.158114829868091</v>
      </c>
      <c r="AO10" s="379">
        <f t="shared" si="7"/>
        <v>0.1536883530101314</v>
      </c>
      <c r="AP10" s="379">
        <f t="shared" si="7"/>
        <v>0.14102425876010782</v>
      </c>
      <c r="AQ10" s="473">
        <f>+AQ9/AL9-1</f>
        <v>0.15317205052906346</v>
      </c>
      <c r="AR10" s="379">
        <f t="shared" si="7"/>
        <v>0.14493715408199837</v>
      </c>
      <c r="AS10" s="379">
        <f t="shared" si="7"/>
        <v>0.12544185280441922</v>
      </c>
      <c r="AT10" s="379">
        <f t="shared" si="7"/>
        <v>0.12577566498530324</v>
      </c>
      <c r="AU10" s="379">
        <f t="shared" si="7"/>
        <v>0.11973211754700941</v>
      </c>
      <c r="AV10" s="473">
        <f>+AV9/AQ9-1</f>
        <v>0.12859172841387156</v>
      </c>
      <c r="AW10" s="379">
        <f t="shared" si="7"/>
        <v>0.12163963692428958</v>
      </c>
      <c r="AX10" s="379">
        <f t="shared" si="7"/>
        <v>0.12239108409321164</v>
      </c>
      <c r="AY10" s="379">
        <f t="shared" si="7"/>
        <v>0.12748605873061924</v>
      </c>
      <c r="AZ10" s="379">
        <f t="shared" si="7"/>
        <v>0.15800466239807598</v>
      </c>
      <c r="BA10" s="473">
        <f>+BA9/AV9-1</f>
        <v>0.13282070073258145</v>
      </c>
      <c r="BB10" s="379">
        <f t="shared" si="7"/>
        <v>0.17222704535119271</v>
      </c>
      <c r="BC10" s="379">
        <f t="shared" si="7"/>
        <v>0.20251349020079834</v>
      </c>
      <c r="BD10" s="379">
        <f t="shared" si="7"/>
        <v>0.19657117807383684</v>
      </c>
      <c r="BE10" s="379">
        <f t="shared" si="7"/>
        <v>0.19192020404445254</v>
      </c>
      <c r="BF10" s="473">
        <f>+BF9/BA9-1</f>
        <v>0.19104170517447683</v>
      </c>
      <c r="BG10" s="379">
        <f t="shared" si="7"/>
        <v>0.15220419679068953</v>
      </c>
      <c r="BH10" s="379">
        <f t="shared" si="7"/>
        <v>0.14442878233091183</v>
      </c>
      <c r="BI10" s="379">
        <f t="shared" si="7"/>
        <v>0.13089255421667545</v>
      </c>
      <c r="BJ10" s="379">
        <f t="shared" si="7"/>
        <v>0.1048613287071356</v>
      </c>
      <c r="BK10" s="473">
        <f>+BK9/BF9-1</f>
        <v>0.13218697100197452</v>
      </c>
      <c r="BL10" s="379">
        <f t="shared" si="7"/>
        <v>0.11571512744580392</v>
      </c>
      <c r="BM10" s="379">
        <f t="shared" si="7"/>
        <v>8.3806455844733119E-2</v>
      </c>
      <c r="BN10" s="379">
        <f t="shared" si="7"/>
        <v>8.3600946505535401E-2</v>
      </c>
      <c r="BO10" s="379">
        <f t="shared" si="7"/>
        <v>0.1011343985612505</v>
      </c>
      <c r="BP10" s="473">
        <f>+BP9/BK9-1</f>
        <v>9.5792647955300403E-2</v>
      </c>
      <c r="BQ10" s="379">
        <f t="shared" si="7"/>
        <v>9.6663351736908876E-2</v>
      </c>
      <c r="BR10" s="379">
        <f t="shared" si="7"/>
        <v>0.10324932081663385</v>
      </c>
      <c r="BS10" s="379">
        <f t="shared" si="7"/>
        <v>0.1040833966997472</v>
      </c>
      <c r="BT10" s="379">
        <f t="shared" si="7"/>
        <v>0.10107983491529038</v>
      </c>
      <c r="BU10" s="473">
        <f>+BU9/BP9-1</f>
        <v>0.10131161625554874</v>
      </c>
      <c r="BV10" s="381">
        <v>8.5000000000000006E-2</v>
      </c>
      <c r="BW10" s="381">
        <v>0.08</v>
      </c>
      <c r="BX10" s="381">
        <v>7.4999999999999997E-2</v>
      </c>
      <c r="BY10" s="381">
        <v>7.0000000000000007E-2</v>
      </c>
      <c r="BZ10" s="473">
        <f>+BZ9/BU9-1</f>
        <v>7.7305832243601991E-2</v>
      </c>
      <c r="CA10" s="381">
        <v>0.08</v>
      </c>
      <c r="CB10" s="381">
        <v>7.0000000000000007E-2</v>
      </c>
      <c r="CC10" s="381">
        <v>0.06</v>
      </c>
      <c r="CD10" s="381">
        <v>0.06</v>
      </c>
      <c r="CE10" s="473">
        <f>+CE9/BZ9-1</f>
        <v>6.7271500908719473E-2</v>
      </c>
    </row>
    <row r="11" spans="1:83" ht="12.6" customHeight="1" outlineLevel="1">
      <c r="B11" s="275" t="s">
        <v>226</v>
      </c>
      <c r="C11" s="218"/>
      <c r="D11" s="380"/>
      <c r="E11" s="380">
        <f>+E9/D9-1</f>
        <v>4.7142654900665271E-2</v>
      </c>
      <c r="F11" s="380">
        <f>+F9/E9-1</f>
        <v>5.3717890941865631E-2</v>
      </c>
      <c r="G11" s="380">
        <f>+G9/F9-1</f>
        <v>5.4529124967924059E-2</v>
      </c>
      <c r="H11" s="171"/>
      <c r="I11" s="380">
        <f>+I9/G9-1</f>
        <v>9.1657541468954662E-3</v>
      </c>
      <c r="J11" s="380">
        <f>+J9/I9-1</f>
        <v>5.6584816943294536E-2</v>
      </c>
      <c r="K11" s="380">
        <f>+K9/J9-1</f>
        <v>5.5456239777870842E-2</v>
      </c>
      <c r="L11" s="380">
        <f>+L9/K9-1</f>
        <v>4.6488161735558364E-2</v>
      </c>
      <c r="M11" s="380"/>
      <c r="N11" s="380">
        <f>+N9/L9-1</f>
        <v>4.5352801405006637E-2</v>
      </c>
      <c r="O11" s="380">
        <f>+O9/N9-1</f>
        <v>6.4105942811964578E-2</v>
      </c>
      <c r="P11" s="380">
        <f>+P9/O9-1</f>
        <v>6.3339731285988465E-2</v>
      </c>
      <c r="Q11" s="380">
        <f>+Q9/P9-1</f>
        <v>6.4778153022009954E-2</v>
      </c>
      <c r="R11" s="380"/>
      <c r="S11" s="380">
        <f>+S9/Q9-1</f>
        <v>2.5155169113827203E-2</v>
      </c>
      <c r="T11" s="380">
        <f>+T9/S9-1</f>
        <v>6.3585202571146526E-2</v>
      </c>
      <c r="U11" s="380">
        <f>+U9/T9-1</f>
        <v>6.4999874614439346E-2</v>
      </c>
      <c r="V11" s="380">
        <f>+V9/U9-1</f>
        <v>4.6528055758317866E-2</v>
      </c>
      <c r="W11" s="498"/>
      <c r="X11" s="380">
        <f>+X9/V9-1</f>
        <v>4.0566992912588695E-2</v>
      </c>
      <c r="Y11" s="380">
        <f>+Y9/X9-1</f>
        <v>4.7958830652136353E-2</v>
      </c>
      <c r="Z11" s="380">
        <f>+Z9/Y9-1</f>
        <v>5.2015846160194723E-2</v>
      </c>
      <c r="AA11" s="380">
        <f>+AA9/Z9-1</f>
        <v>2.426108615921696E-2</v>
      </c>
      <c r="AB11" s="498"/>
      <c r="AC11" s="380">
        <f>+AC9/AA9-1</f>
        <v>1.7176011029411686E-2</v>
      </c>
      <c r="AD11" s="380">
        <f>+AD9/AC9-1</f>
        <v>4.1057209013384499E-2</v>
      </c>
      <c r="AE11" s="380">
        <f>+AE9/AD9-1</f>
        <v>7.5729630031463602E-2</v>
      </c>
      <c r="AF11" s="380">
        <f>+AF9/AE9-1</f>
        <v>5.7572701294335227E-2</v>
      </c>
      <c r="AG11" s="498"/>
      <c r="AH11" s="380">
        <f>+AH9/AF9-1</f>
        <v>3.1200826511960544E-2</v>
      </c>
      <c r="AI11" s="380">
        <f>+AI9/AH9-1</f>
        <v>5.0479361262677713E-2</v>
      </c>
      <c r="AJ11" s="380">
        <f>+AJ9/AI9-1</f>
        <v>5.1428403738646766E-2</v>
      </c>
      <c r="AK11" s="380">
        <f>+AK9/AJ9-1</f>
        <v>3.5474057327862907E-2</v>
      </c>
      <c r="AL11" s="474"/>
      <c r="AM11" s="380">
        <f>+AM9/AK9-1</f>
        <v>1.5404312668463538E-2</v>
      </c>
      <c r="AN11" s="462">
        <f>+AN9/AM9-1</f>
        <v>4.7595662503484126E-2</v>
      </c>
      <c r="AO11" s="462">
        <f>+AO9/AN9-1</f>
        <v>4.740969732291056E-2</v>
      </c>
      <c r="AP11" s="380">
        <f>+AP9/AO9-1</f>
        <v>2.410760726252259E-2</v>
      </c>
      <c r="AQ11" s="474"/>
      <c r="AR11" s="462">
        <f>+AR9/AP9-1</f>
        <v>1.8886421619578542E-2</v>
      </c>
      <c r="AS11" s="462">
        <f>+AS9/AR9-1</f>
        <v>2.9757833601891992E-2</v>
      </c>
      <c r="AT11" s="462">
        <f>+AT9/AS9-1</f>
        <v>4.7720364741641319E-2</v>
      </c>
      <c r="AU11" s="462">
        <f>+AU9/AT9-1</f>
        <v>1.8609848606947477E-2</v>
      </c>
      <c r="AV11" s="474"/>
      <c r="AW11" s="462">
        <f>+AW9/AU9-1</f>
        <v>2.0622145336019582E-2</v>
      </c>
      <c r="AX11" s="462">
        <f>+AX9/AW9-1</f>
        <v>3.0447724172144364E-2</v>
      </c>
      <c r="AY11" s="462">
        <f>+AY9/AX9-1</f>
        <v>5.2476379611241519E-2</v>
      </c>
      <c r="AZ11" s="380">
        <f>+AZ9/AY9-1</f>
        <v>4.6181409266777163E-2</v>
      </c>
      <c r="BA11" s="474"/>
      <c r="BB11" s="380">
        <f>+BB9/AZ9-1</f>
        <v>3.3157223537985114E-2</v>
      </c>
      <c r="BC11" s="380">
        <f>+BC9/BB9-1</f>
        <v>5.7071063304531933E-2</v>
      </c>
      <c r="BD11" s="380">
        <f>+BD9/BC9-1</f>
        <v>4.7275487309517583E-2</v>
      </c>
      <c r="BE11" s="380">
        <f>+BE9/BD9-1</f>
        <v>4.2114987934151582E-2</v>
      </c>
      <c r="BF11" s="474"/>
      <c r="BG11" s="380">
        <f>+BG9/BE9-1</f>
        <v>-1.2686378955896194E-3</v>
      </c>
      <c r="BH11" s="380">
        <f>+BH9/BG9-1</f>
        <v>4.9937635346602116E-2</v>
      </c>
      <c r="BI11" s="380">
        <f>+BI9/BH9-1</f>
        <v>3.4888381957451697E-2</v>
      </c>
      <c r="BJ11" s="380">
        <f>+BJ9/BI9-1</f>
        <v>1.812727119073787E-2</v>
      </c>
      <c r="BK11" s="474"/>
      <c r="BL11" s="380">
        <f>+BL9/BJ9-1</f>
        <v>8.5425745313689738E-3</v>
      </c>
      <c r="BM11" s="380">
        <f>+BM9/BL9-1</f>
        <v>1.991015397277196E-2</v>
      </c>
      <c r="BN11" s="380">
        <f>+BN9/BM9-1</f>
        <v>3.4692148371304743E-2</v>
      </c>
      <c r="BO11" s="380">
        <f>+BO9/BN9-1</f>
        <v>3.4601311522288736E-2</v>
      </c>
      <c r="BP11" s="474"/>
      <c r="BQ11" s="380">
        <f>+BQ9/BO9-1</f>
        <v>4.4474876092241988E-3</v>
      </c>
      <c r="BR11" s="380">
        <f>+BR9/BQ9-1</f>
        <v>2.603518471034838E-2</v>
      </c>
      <c r="BS11" s="380">
        <f>+BS9/BR9-1</f>
        <v>3.5474393826724127E-2</v>
      </c>
      <c r="BT11" s="380">
        <f>+BT9/BS9-1</f>
        <v>3.1786769640103074E-2</v>
      </c>
      <c r="BU11" s="474"/>
      <c r="BV11" s="380">
        <f>+BV9/BT9-1</f>
        <v>-1.0221157905546452E-2</v>
      </c>
      <c r="BW11" s="380">
        <f>+BW9/BV9-1</f>
        <v>2.1306911969747766E-2</v>
      </c>
      <c r="BX11" s="380">
        <f>+BX9/BW9-1</f>
        <v>3.0680530892340796E-2</v>
      </c>
      <c r="BY11" s="380">
        <f>+BY9/BX9-1</f>
        <v>2.6987761409219102E-2</v>
      </c>
      <c r="BZ11" s="474"/>
      <c r="CA11" s="380">
        <f>+CA9/BY9-1</f>
        <v>-9.7088835326186729E-4</v>
      </c>
      <c r="CB11" s="380">
        <f>+CB9/CA9-1</f>
        <v>1.1850366488546316E-2</v>
      </c>
      <c r="CC11" s="380">
        <f>+CC9/CB9-1</f>
        <v>2.1048002566244284E-2</v>
      </c>
      <c r="CD11" s="380">
        <f>+CD9/CC9-1</f>
        <v>2.6987761409219102E-2</v>
      </c>
      <c r="CE11" s="474"/>
    </row>
    <row r="12" spans="1:83" ht="6.75" customHeight="1">
      <c r="B12" s="415"/>
      <c r="C12" s="415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414"/>
      <c r="S12" s="237"/>
      <c r="T12" s="237"/>
      <c r="U12" s="237"/>
      <c r="V12" s="237"/>
      <c r="W12" s="495"/>
      <c r="X12" s="237"/>
      <c r="Y12" s="237"/>
      <c r="Z12" s="237"/>
      <c r="AA12" s="237"/>
      <c r="AB12" s="495"/>
      <c r="AC12" s="237"/>
      <c r="AD12" s="237"/>
      <c r="AE12" s="237"/>
      <c r="AF12" s="414"/>
      <c r="AG12" s="495"/>
      <c r="AH12" s="414"/>
      <c r="AI12" s="414"/>
      <c r="AJ12" s="414"/>
      <c r="AK12" s="414"/>
      <c r="AL12" s="471"/>
      <c r="AM12" s="414"/>
      <c r="AN12" s="461"/>
      <c r="AO12" s="461"/>
      <c r="AP12" s="414"/>
      <c r="AQ12" s="471"/>
      <c r="AR12" s="460"/>
      <c r="AS12" s="460"/>
      <c r="AT12" s="237"/>
      <c r="AU12" s="237"/>
      <c r="AV12" s="471"/>
      <c r="AW12" s="237"/>
      <c r="AX12" s="237"/>
      <c r="AY12" s="237"/>
      <c r="AZ12" s="237"/>
      <c r="BA12" s="471"/>
      <c r="BB12" s="237"/>
      <c r="BC12" s="237"/>
      <c r="BD12" s="237"/>
      <c r="BE12" s="237"/>
      <c r="BF12" s="471"/>
      <c r="BG12" s="237"/>
      <c r="BH12" s="237"/>
      <c r="BI12" s="237"/>
      <c r="BJ12" s="237"/>
      <c r="BK12" s="471"/>
      <c r="BL12" s="237"/>
      <c r="BM12" s="237"/>
      <c r="BN12" s="237"/>
      <c r="BO12" s="237"/>
      <c r="BP12" s="471"/>
      <c r="BQ12" s="237"/>
      <c r="BR12" s="237"/>
      <c r="BS12" s="237"/>
      <c r="BT12" s="237"/>
      <c r="BU12" s="471"/>
      <c r="BV12" s="237"/>
      <c r="BW12" s="237"/>
      <c r="BX12" s="237"/>
      <c r="BY12" s="237"/>
      <c r="BZ12" s="471"/>
      <c r="CA12" s="237"/>
      <c r="CB12" s="237"/>
      <c r="CC12" s="237"/>
      <c r="CD12" s="237"/>
      <c r="CE12" s="471"/>
    </row>
    <row r="13" spans="1:83" ht="12.6" customHeight="1" outlineLevel="1">
      <c r="B13" s="212"/>
      <c r="C13" s="212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496"/>
      <c r="X13" s="237"/>
      <c r="Y13" s="237"/>
      <c r="Z13" s="237"/>
      <c r="AA13" s="237"/>
      <c r="AB13" s="496"/>
      <c r="AC13" s="237"/>
      <c r="AD13" s="237"/>
      <c r="AE13" s="237"/>
      <c r="AF13" s="246"/>
      <c r="AG13" s="499"/>
      <c r="AH13" s="246"/>
      <c r="AI13" s="246"/>
      <c r="AJ13" s="246"/>
      <c r="AK13" s="246"/>
      <c r="AL13" s="475"/>
      <c r="AM13" s="246"/>
      <c r="AN13" s="246"/>
      <c r="AO13" s="246"/>
      <c r="AP13" s="246"/>
      <c r="AQ13" s="475"/>
      <c r="AR13" s="659"/>
      <c r="AS13" s="659"/>
      <c r="AT13" s="246"/>
      <c r="AU13" s="246"/>
      <c r="AV13" s="475"/>
      <c r="AW13" s="246"/>
      <c r="AX13" s="246"/>
      <c r="AY13" s="246"/>
      <c r="AZ13" s="246"/>
      <c r="BA13" s="475"/>
      <c r="BB13" s="246"/>
      <c r="BC13" s="246"/>
      <c r="BD13" s="246"/>
      <c r="BE13" s="246"/>
      <c r="BF13" s="475"/>
      <c r="BG13" s="246"/>
      <c r="BH13" s="246"/>
      <c r="BI13" s="246"/>
      <c r="BJ13" s="246"/>
      <c r="BK13" s="475"/>
      <c r="BL13" s="246"/>
      <c r="BM13" s="246"/>
      <c r="BN13" s="246"/>
      <c r="BO13" s="246"/>
      <c r="BP13" s="475"/>
      <c r="BQ13" s="246"/>
      <c r="BR13" s="246"/>
      <c r="BS13" s="246"/>
      <c r="BT13" s="246"/>
      <c r="BU13" s="475"/>
      <c r="BV13" s="246"/>
      <c r="BW13" s="246"/>
      <c r="BX13" s="246"/>
      <c r="BY13" s="246"/>
      <c r="BZ13" s="475"/>
      <c r="CA13" s="246"/>
      <c r="CB13" s="246"/>
      <c r="CC13" s="246"/>
      <c r="CD13" s="246"/>
      <c r="CE13" s="475"/>
    </row>
    <row r="14" spans="1:83" ht="12.75">
      <c r="B14" s="407" t="s">
        <v>4</v>
      </c>
      <c r="C14" s="416"/>
      <c r="D14" s="245">
        <v>4106</v>
      </c>
      <c r="E14" s="245">
        <v>4555.9999999999991</v>
      </c>
      <c r="F14" s="245">
        <v>4566.0000000000009</v>
      </c>
      <c r="G14" s="245">
        <v>4899.9999999999991</v>
      </c>
      <c r="H14" s="245">
        <f>+G14+F14+E14+D14</f>
        <v>18128</v>
      </c>
      <c r="I14" s="245">
        <v>5702</v>
      </c>
      <c r="J14" s="245">
        <v>5813.0000000000009</v>
      </c>
      <c r="K14" s="245">
        <v>6312</v>
      </c>
      <c r="L14" s="245">
        <v>6401.0000000000018</v>
      </c>
      <c r="M14" s="245">
        <f>+L14+K14+J14+I14</f>
        <v>24228.000000000004</v>
      </c>
      <c r="N14" s="245">
        <v>6697</v>
      </c>
      <c r="O14" s="245">
        <v>7016.9999999999991</v>
      </c>
      <c r="P14" s="245">
        <v>7246</v>
      </c>
      <c r="Q14" s="245">
        <v>7246</v>
      </c>
      <c r="R14" s="417">
        <f>+Q14+P14+O14+N14</f>
        <v>28206</v>
      </c>
      <c r="S14" s="245">
        <v>7636</v>
      </c>
      <c r="T14" s="245">
        <v>7813</v>
      </c>
      <c r="U14" s="245">
        <v>8429</v>
      </c>
      <c r="V14" s="245">
        <v>8757.0000000000018</v>
      </c>
      <c r="W14" s="500">
        <f>+V14+U14+T14+S14</f>
        <v>32635</v>
      </c>
      <c r="X14" s="245">
        <v>9037</v>
      </c>
      <c r="Y14" s="245">
        <v>9669</v>
      </c>
      <c r="Z14" s="245">
        <v>10772</v>
      </c>
      <c r="AA14" s="245">
        <v>11137</v>
      </c>
      <c r="AB14" s="500">
        <f>+AA14+Z14+Y14+X14</f>
        <v>40615</v>
      </c>
      <c r="AC14" s="245">
        <v>11793.000000000002</v>
      </c>
      <c r="AD14" s="245">
        <f>12153-536</f>
        <v>11617</v>
      </c>
      <c r="AE14" s="245">
        <f>12728-532-86</f>
        <v>12110</v>
      </c>
      <c r="AF14" s="417">
        <f>14405-590-374</f>
        <v>13441</v>
      </c>
      <c r="AG14" s="500">
        <f>+AF14+AE14+AD14+AC14</f>
        <v>48961</v>
      </c>
      <c r="AH14" s="417">
        <f>15901-654-608</f>
        <v>14639</v>
      </c>
      <c r="AI14" s="417">
        <f>16248-609-839</f>
        <v>14800</v>
      </c>
      <c r="AJ14" s="417">
        <f>16511-625-839</f>
        <v>15047</v>
      </c>
      <c r="AK14" s="417">
        <v>15585</v>
      </c>
      <c r="AL14" s="476">
        <f>+AK14+AJ14+AI14+AH14</f>
        <v>60071</v>
      </c>
      <c r="AM14" s="417">
        <v>15669</v>
      </c>
      <c r="AN14" s="417">
        <v>15487</v>
      </c>
      <c r="AO14" s="417">
        <f>17108-577-1495</f>
        <v>15036</v>
      </c>
      <c r="AP14" s="417">
        <v>15080</v>
      </c>
      <c r="AQ14" s="476">
        <f>+AP14+AO14+AN14+AM14</f>
        <v>61272</v>
      </c>
      <c r="AR14" s="660">
        <v>16386</v>
      </c>
      <c r="AS14" s="660">
        <v>16813</v>
      </c>
      <c r="AT14" s="245">
        <f>20619-770-1579</f>
        <v>18270</v>
      </c>
      <c r="AU14" s="245">
        <f>21221-801-1620</f>
        <v>18800</v>
      </c>
      <c r="AV14" s="476">
        <f>+AU14+AT14+AS14+AR14</f>
        <v>70269</v>
      </c>
      <c r="AW14" s="245">
        <f>21680-875-1620</f>
        <v>19185</v>
      </c>
      <c r="AX14" s="245">
        <f>21552-841-1621</f>
        <v>19090</v>
      </c>
      <c r="AY14" s="245">
        <f>22479-986-1620</f>
        <v>19873</v>
      </c>
      <c r="AZ14" s="245">
        <f>23728-1080-1620</f>
        <v>21028</v>
      </c>
      <c r="BA14" s="476">
        <f>+AZ14+AY14+AX14+AW14</f>
        <v>79176</v>
      </c>
      <c r="BB14" s="245">
        <f>24002-1080-1621</f>
        <v>21301</v>
      </c>
      <c r="BC14" s="245">
        <f>25046-1273-1389</f>
        <v>22384</v>
      </c>
      <c r="BD14" s="245">
        <f>25992-1384-1261</f>
        <v>23347</v>
      </c>
      <c r="BE14" s="245">
        <f>27748-1567-1076</f>
        <v>25105</v>
      </c>
      <c r="BF14" s="476">
        <f>+BE14+BD14+BC14+BB14</f>
        <v>92137</v>
      </c>
      <c r="BG14" s="245">
        <f>26954-1592-747</f>
        <v>24615</v>
      </c>
      <c r="BH14" s="245">
        <f>26662-1717-747</f>
        <v>24198</v>
      </c>
      <c r="BI14" s="245">
        <f>26739-1946-747</f>
        <v>24046</v>
      </c>
      <c r="BJ14" s="245">
        <f>27130-2045-746</f>
        <v>24339</v>
      </c>
      <c r="BK14" s="476">
        <f>+BJ14+BI14+BH14+BG14</f>
        <v>97198</v>
      </c>
      <c r="BL14" s="245">
        <f>27198-2020-747</f>
        <v>24431</v>
      </c>
      <c r="BM14" s="245">
        <f>26415-1866-746</f>
        <v>23803</v>
      </c>
      <c r="BN14" s="245">
        <f>28832-2081-705</f>
        <v>26046</v>
      </c>
      <c r="BO14" s="245">
        <f>29037-2162-639</f>
        <v>26236</v>
      </c>
      <c r="BP14" s="476">
        <f>+BO14+BN14+BM14+BL14</f>
        <v>100516</v>
      </c>
      <c r="BQ14" s="245">
        <f>28926-2090-640</f>
        <v>26196</v>
      </c>
      <c r="BR14" s="245">
        <f>28877-1980-639</f>
        <v>26258</v>
      </c>
      <c r="BS14" s="245">
        <f>27798-2172-639</f>
        <v>24987</v>
      </c>
      <c r="BT14" s="245">
        <f>29167-2287-639</f>
        <v>26241</v>
      </c>
      <c r="BU14" s="476">
        <f>+BT14+BS14+BR14+BQ14</f>
        <v>103682</v>
      </c>
      <c r="BV14" s="245">
        <f t="shared" ref="BV14:BY14" si="8">BV9-BV16</f>
        <v>27758.466400000005</v>
      </c>
      <c r="BW14" s="245">
        <f t="shared" si="8"/>
        <v>28349.9136</v>
      </c>
      <c r="BX14" s="245">
        <f t="shared" si="8"/>
        <v>28671.83455</v>
      </c>
      <c r="BY14" s="245">
        <f t="shared" si="8"/>
        <v>29070.519700000004</v>
      </c>
      <c r="BZ14" s="476">
        <f>+BY14+BX14+BW14+BV14</f>
        <v>113850.73425000001</v>
      </c>
      <c r="CA14" s="245">
        <f t="shared" ref="CA14:CD14" si="9">CA9-CA16</f>
        <v>29604.404415600002</v>
      </c>
      <c r="CB14" s="245">
        <f t="shared" si="9"/>
        <v>29576.047363200021</v>
      </c>
      <c r="CC14" s="245">
        <f t="shared" si="9"/>
        <v>30004.983544999996</v>
      </c>
      <c r="CD14" s="245">
        <f t="shared" si="9"/>
        <v>29820.726660000015</v>
      </c>
      <c r="CE14" s="476">
        <f>+CD14+CC14+CB14+CA14</f>
        <v>119006.16198380003</v>
      </c>
    </row>
    <row r="15" spans="1:83" ht="12.75">
      <c r="B15" s="407"/>
      <c r="C15" s="418"/>
      <c r="D15" s="238" t="s">
        <v>0</v>
      </c>
      <c r="E15" s="238" t="s">
        <v>0</v>
      </c>
      <c r="F15" s="238" t="s">
        <v>0</v>
      </c>
      <c r="G15" s="238" t="s">
        <v>0</v>
      </c>
      <c r="H15" s="238" t="s">
        <v>0</v>
      </c>
      <c r="I15" s="238" t="s">
        <v>0</v>
      </c>
      <c r="J15" s="238" t="s">
        <v>0</v>
      </c>
      <c r="K15" s="238" t="s">
        <v>0</v>
      </c>
      <c r="L15" s="238" t="s">
        <v>0</v>
      </c>
      <c r="M15" s="238" t="s">
        <v>0</v>
      </c>
      <c r="N15" s="238" t="s">
        <v>0</v>
      </c>
      <c r="O15" s="238" t="s">
        <v>0</v>
      </c>
      <c r="P15" s="238" t="s">
        <v>0</v>
      </c>
      <c r="Q15" s="238" t="s">
        <v>0</v>
      </c>
      <c r="R15" s="419" t="s">
        <v>0</v>
      </c>
      <c r="S15" s="238" t="s">
        <v>0</v>
      </c>
      <c r="T15" s="238" t="s">
        <v>0</v>
      </c>
      <c r="U15" s="238" t="s">
        <v>0</v>
      </c>
      <c r="V15" s="238" t="s">
        <v>0</v>
      </c>
      <c r="W15" s="501" t="s">
        <v>0</v>
      </c>
      <c r="X15" s="238" t="s">
        <v>0</v>
      </c>
      <c r="Y15" s="238" t="s">
        <v>0</v>
      </c>
      <c r="Z15" s="238" t="s">
        <v>0</v>
      </c>
      <c r="AA15" s="238" t="s">
        <v>0</v>
      </c>
      <c r="AB15" s="501" t="s">
        <v>0</v>
      </c>
      <c r="AC15" s="238" t="s">
        <v>0</v>
      </c>
      <c r="AD15" s="238" t="s">
        <v>0</v>
      </c>
      <c r="AE15" s="238" t="s">
        <v>0</v>
      </c>
      <c r="AF15" s="419" t="s">
        <v>0</v>
      </c>
      <c r="AG15" s="501" t="s">
        <v>0</v>
      </c>
      <c r="AH15" s="419" t="s">
        <v>0</v>
      </c>
      <c r="AI15" s="419" t="s">
        <v>0</v>
      </c>
      <c r="AJ15" s="419" t="s">
        <v>0</v>
      </c>
      <c r="AK15" s="419" t="s">
        <v>0</v>
      </c>
      <c r="AL15" s="477" t="s">
        <v>0</v>
      </c>
      <c r="AM15" s="419" t="s">
        <v>0</v>
      </c>
      <c r="AN15" s="419" t="s">
        <v>0</v>
      </c>
      <c r="AO15" s="419" t="s">
        <v>0</v>
      </c>
      <c r="AP15" s="419" t="s">
        <v>0</v>
      </c>
      <c r="AQ15" s="477" t="s">
        <v>0</v>
      </c>
      <c r="AR15" s="661" t="s">
        <v>0</v>
      </c>
      <c r="AS15" s="661" t="s">
        <v>0</v>
      </c>
      <c r="AT15" s="238" t="s">
        <v>0</v>
      </c>
      <c r="AU15" s="238" t="s">
        <v>0</v>
      </c>
      <c r="AV15" s="477" t="s">
        <v>0</v>
      </c>
      <c r="AW15" s="238" t="s">
        <v>0</v>
      </c>
      <c r="AX15" s="238" t="s">
        <v>0</v>
      </c>
      <c r="AY15" s="238" t="s">
        <v>0</v>
      </c>
      <c r="AZ15" s="238" t="s">
        <v>0</v>
      </c>
      <c r="BA15" s="477" t="s">
        <v>0</v>
      </c>
      <c r="BB15" s="238" t="s">
        <v>0</v>
      </c>
      <c r="BC15" s="238" t="s">
        <v>0</v>
      </c>
      <c r="BD15" s="238" t="s">
        <v>0</v>
      </c>
      <c r="BE15" s="238" t="s">
        <v>0</v>
      </c>
      <c r="BF15" s="477" t="s">
        <v>0</v>
      </c>
      <c r="BG15" s="238" t="s">
        <v>0</v>
      </c>
      <c r="BH15" s="238" t="s">
        <v>0</v>
      </c>
      <c r="BI15" s="238" t="s">
        <v>0</v>
      </c>
      <c r="BJ15" s="238" t="s">
        <v>0</v>
      </c>
      <c r="BK15" s="477" t="s">
        <v>0</v>
      </c>
      <c r="BL15" s="238" t="s">
        <v>0</v>
      </c>
      <c r="BM15" s="238" t="s">
        <v>0</v>
      </c>
      <c r="BN15" s="238" t="s">
        <v>0</v>
      </c>
      <c r="BO15" s="238" t="s">
        <v>0</v>
      </c>
      <c r="BP15" s="477" t="s">
        <v>0</v>
      </c>
      <c r="BQ15" s="238" t="s">
        <v>0</v>
      </c>
      <c r="BR15" s="238" t="s">
        <v>0</v>
      </c>
      <c r="BS15" s="238" t="s">
        <v>0</v>
      </c>
      <c r="BT15" s="238" t="s">
        <v>0</v>
      </c>
      <c r="BU15" s="477" t="s">
        <v>0</v>
      </c>
      <c r="BV15" s="238" t="s">
        <v>0</v>
      </c>
      <c r="BW15" s="238" t="s">
        <v>0</v>
      </c>
      <c r="BX15" s="238" t="s">
        <v>0</v>
      </c>
      <c r="BY15" s="238" t="s">
        <v>0</v>
      </c>
      <c r="BZ15" s="477" t="s">
        <v>0</v>
      </c>
      <c r="CA15" s="238" t="s">
        <v>0</v>
      </c>
      <c r="CB15" s="238" t="s">
        <v>0</v>
      </c>
      <c r="CC15" s="238" t="s">
        <v>0</v>
      </c>
      <c r="CD15" s="238" t="s">
        <v>0</v>
      </c>
      <c r="CE15" s="477" t="s">
        <v>0</v>
      </c>
    </row>
    <row r="16" spans="1:83" ht="12.75">
      <c r="B16" s="420" t="s">
        <v>1</v>
      </c>
      <c r="C16" s="421"/>
      <c r="D16" s="189">
        <f t="shared" ref="D16:AL16" si="10">+D9-D14</f>
        <v>17085</v>
      </c>
      <c r="E16" s="189">
        <f t="shared" si="10"/>
        <v>17634</v>
      </c>
      <c r="F16" s="189">
        <f t="shared" si="10"/>
        <v>18816</v>
      </c>
      <c r="G16" s="189">
        <f t="shared" si="10"/>
        <v>19757</v>
      </c>
      <c r="H16" s="247">
        <f t="shared" si="10"/>
        <v>73292</v>
      </c>
      <c r="I16" s="189">
        <f t="shared" si="10"/>
        <v>19181</v>
      </c>
      <c r="J16" s="189">
        <f t="shared" si="10"/>
        <v>20478</v>
      </c>
      <c r="K16" s="189">
        <f t="shared" si="10"/>
        <v>21437</v>
      </c>
      <c r="L16" s="189">
        <f t="shared" si="10"/>
        <v>22638.000000000007</v>
      </c>
      <c r="M16" s="247">
        <f t="shared" si="10"/>
        <v>83734.000000000015</v>
      </c>
      <c r="N16" s="189">
        <f t="shared" si="10"/>
        <v>23659</v>
      </c>
      <c r="O16" s="189">
        <f t="shared" si="10"/>
        <v>25285</v>
      </c>
      <c r="P16" s="189">
        <f t="shared" si="10"/>
        <v>27102</v>
      </c>
      <c r="Q16" s="189">
        <f t="shared" si="10"/>
        <v>29327</v>
      </c>
      <c r="R16" s="422">
        <f t="shared" si="10"/>
        <v>105373</v>
      </c>
      <c r="S16" s="189">
        <f t="shared" si="10"/>
        <v>29857</v>
      </c>
      <c r="T16" s="189">
        <f t="shared" si="10"/>
        <v>32064</v>
      </c>
      <c r="U16" s="189">
        <f t="shared" si="10"/>
        <v>34040</v>
      </c>
      <c r="V16" s="189">
        <f t="shared" si="10"/>
        <v>35688</v>
      </c>
      <c r="W16" s="502">
        <f t="shared" si="10"/>
        <v>131649</v>
      </c>
      <c r="X16" s="189">
        <f t="shared" si="10"/>
        <v>37211</v>
      </c>
      <c r="Y16" s="189">
        <f t="shared" si="10"/>
        <v>38797</v>
      </c>
      <c r="Z16" s="189">
        <f t="shared" si="10"/>
        <v>40215</v>
      </c>
      <c r="AA16" s="189">
        <f t="shared" si="10"/>
        <v>41087</v>
      </c>
      <c r="AB16" s="502">
        <f t="shared" si="10"/>
        <v>157310</v>
      </c>
      <c r="AC16" s="189">
        <f t="shared" si="10"/>
        <v>41328</v>
      </c>
      <c r="AD16" s="189">
        <f t="shared" si="10"/>
        <v>43685</v>
      </c>
      <c r="AE16" s="189">
        <f t="shared" si="10"/>
        <v>47380</v>
      </c>
      <c r="AF16" s="423">
        <f t="shared" si="10"/>
        <v>49474</v>
      </c>
      <c r="AG16" s="502">
        <f t="shared" si="10"/>
        <v>181867</v>
      </c>
      <c r="AH16" s="423">
        <f t="shared" si="10"/>
        <v>50239</v>
      </c>
      <c r="AI16" s="423">
        <f t="shared" si="10"/>
        <v>53353</v>
      </c>
      <c r="AJ16" s="423">
        <f t="shared" si="10"/>
        <v>56611</v>
      </c>
      <c r="AK16" s="423">
        <f t="shared" si="10"/>
        <v>58615</v>
      </c>
      <c r="AL16" s="478">
        <f t="shared" si="10"/>
        <v>218818</v>
      </c>
      <c r="AM16" s="423">
        <f t="shared" ref="AM16:AQ16" si="11">+AM9-AM14</f>
        <v>59674</v>
      </c>
      <c r="AN16" s="423">
        <f t="shared" si="11"/>
        <v>63442</v>
      </c>
      <c r="AO16" s="423">
        <f t="shared" si="11"/>
        <v>67635</v>
      </c>
      <c r="AP16" s="423">
        <f t="shared" si="11"/>
        <v>69584</v>
      </c>
      <c r="AQ16" s="478">
        <f t="shared" si="11"/>
        <v>260335</v>
      </c>
      <c r="AR16" s="662">
        <f t="shared" ref="AR16:AV16" si="12">+AR9-AR14</f>
        <v>69877</v>
      </c>
      <c r="AS16" s="662">
        <f t="shared" si="12"/>
        <v>72017</v>
      </c>
      <c r="AT16" s="189">
        <f t="shared" si="12"/>
        <v>74799</v>
      </c>
      <c r="AU16" s="189">
        <f t="shared" si="12"/>
        <v>76001</v>
      </c>
      <c r="AV16" s="478">
        <f t="shared" si="12"/>
        <v>292694</v>
      </c>
      <c r="AW16" s="189">
        <f t="shared" ref="AW16:BA16" si="13">+AW9-AW14</f>
        <v>77571</v>
      </c>
      <c r="AX16" s="189">
        <f t="shared" si="13"/>
        <v>80612</v>
      </c>
      <c r="AY16" s="189">
        <f t="shared" si="13"/>
        <v>85061</v>
      </c>
      <c r="AZ16" s="189">
        <f t="shared" si="13"/>
        <v>88752</v>
      </c>
      <c r="BA16" s="478">
        <f t="shared" si="13"/>
        <v>331996</v>
      </c>
      <c r="BB16" s="189">
        <f t="shared" ref="BB16:BF16" si="14">+BB9-BB14</f>
        <v>92119</v>
      </c>
      <c r="BC16" s="189">
        <f t="shared" ref="BC16:BE16" si="15">+BC9-BC14</f>
        <v>97509</v>
      </c>
      <c r="BD16" s="189">
        <f t="shared" si="15"/>
        <v>102214</v>
      </c>
      <c r="BE16" s="189">
        <f t="shared" si="15"/>
        <v>105744</v>
      </c>
      <c r="BF16" s="478">
        <f t="shared" si="14"/>
        <v>397586</v>
      </c>
      <c r="BG16" s="189">
        <f>+BG9-BG14</f>
        <v>106068</v>
      </c>
      <c r="BH16" s="189">
        <f t="shared" ref="BH16:BJ16" si="16">+BH9-BH14</f>
        <v>113011</v>
      </c>
      <c r="BI16" s="189">
        <f t="shared" si="16"/>
        <v>117950</v>
      </c>
      <c r="BJ16" s="189">
        <f t="shared" si="16"/>
        <v>120231</v>
      </c>
      <c r="BK16" s="478">
        <f t="shared" ref="BK16:BO16" si="17">+BK9-BK14</f>
        <v>457260</v>
      </c>
      <c r="BL16" s="189">
        <f t="shared" si="17"/>
        <v>121374</v>
      </c>
      <c r="BM16" s="189">
        <f t="shared" si="17"/>
        <v>124905</v>
      </c>
      <c r="BN16" s="189">
        <f t="shared" si="17"/>
        <v>127821</v>
      </c>
      <c r="BO16" s="189">
        <f t="shared" si="17"/>
        <v>132955</v>
      </c>
      <c r="BP16" s="478">
        <f t="shared" ref="BP16:BT16" si="18">+BP9-BP14</f>
        <v>507055</v>
      </c>
      <c r="BQ16" s="189">
        <f t="shared" si="18"/>
        <v>133703</v>
      </c>
      <c r="BR16" s="189">
        <f t="shared" si="18"/>
        <v>137804</v>
      </c>
      <c r="BS16" s="189">
        <f t="shared" si="18"/>
        <v>144895</v>
      </c>
      <c r="BT16" s="189">
        <f t="shared" si="18"/>
        <v>149041</v>
      </c>
      <c r="BU16" s="478">
        <f t="shared" ref="BU16" si="19">+BU9-BU14</f>
        <v>565443</v>
      </c>
      <c r="BV16" s="189">
        <f t="shared" ref="BV16:BY16" si="20">BV9*BV18</f>
        <v>145731.9486</v>
      </c>
      <c r="BW16" s="189">
        <f t="shared" si="20"/>
        <v>148837.04640000002</v>
      </c>
      <c r="BX16" s="189">
        <f t="shared" si="20"/>
        <v>153951.31544999999</v>
      </c>
      <c r="BY16" s="189">
        <f t="shared" si="20"/>
        <v>158481.22030000002</v>
      </c>
      <c r="BZ16" s="478">
        <f t="shared" ref="BZ16" si="21">+BZ9-BZ14</f>
        <v>607001.53075000015</v>
      </c>
      <c r="CA16" s="189">
        <f t="shared" ref="CA16:CD16" si="22">CA9*CA18</f>
        <v>157765.24378440002</v>
      </c>
      <c r="CB16" s="189">
        <f t="shared" si="22"/>
        <v>160013.99983680001</v>
      </c>
      <c r="CC16" s="189">
        <f t="shared" si="22"/>
        <v>163575.55545499999</v>
      </c>
      <c r="CD16" s="189">
        <f t="shared" si="22"/>
        <v>168984.11774000002</v>
      </c>
      <c r="CE16" s="478">
        <f t="shared" ref="CE16" si="23">+CE9-CE14</f>
        <v>650338.91681620013</v>
      </c>
    </row>
    <row r="17" spans="2:83" ht="12.6" customHeight="1">
      <c r="B17" s="420"/>
      <c r="C17" s="421"/>
      <c r="D17" s="238"/>
      <c r="E17" s="238"/>
      <c r="F17" s="238"/>
      <c r="G17" s="238"/>
      <c r="H17" s="239"/>
      <c r="I17" s="238"/>
      <c r="J17" s="238"/>
      <c r="K17" s="238"/>
      <c r="L17" s="238"/>
      <c r="M17" s="239"/>
      <c r="N17" s="238"/>
      <c r="O17" s="238"/>
      <c r="P17" s="238"/>
      <c r="Q17" s="238"/>
      <c r="R17" s="424"/>
      <c r="S17" s="238"/>
      <c r="T17" s="238"/>
      <c r="U17" s="238"/>
      <c r="V17" s="238"/>
      <c r="W17" s="503"/>
      <c r="X17" s="238"/>
      <c r="Y17" s="238"/>
      <c r="Z17" s="238"/>
      <c r="AA17" s="238"/>
      <c r="AB17" s="503"/>
      <c r="AC17" s="238"/>
      <c r="AD17" s="238"/>
      <c r="AE17" s="238"/>
      <c r="AF17" s="419"/>
      <c r="AG17" s="503"/>
      <c r="AH17" s="419"/>
      <c r="AI17" s="419"/>
      <c r="AJ17" s="419"/>
      <c r="AK17" s="419"/>
      <c r="AL17" s="479"/>
      <c r="AM17" s="419"/>
      <c r="AN17" s="419"/>
      <c r="AO17" s="419"/>
      <c r="AP17" s="419"/>
      <c r="AQ17" s="479"/>
      <c r="AR17" s="661"/>
      <c r="AS17" s="661"/>
      <c r="AT17" s="238"/>
      <c r="AU17" s="238"/>
      <c r="AV17" s="479"/>
      <c r="AW17" s="238"/>
      <c r="AX17" s="238"/>
      <c r="AY17" s="238"/>
      <c r="AZ17" s="238"/>
      <c r="BA17" s="479"/>
      <c r="BB17" s="238"/>
      <c r="BC17" s="238"/>
      <c r="BD17" s="238"/>
      <c r="BE17" s="238"/>
      <c r="BF17" s="479"/>
      <c r="BG17" s="238"/>
      <c r="BH17" s="238"/>
      <c r="BI17" s="238"/>
      <c r="BJ17" s="238"/>
      <c r="BK17" s="479"/>
      <c r="BL17" s="238"/>
      <c r="BM17" s="238"/>
      <c r="BN17" s="238"/>
      <c r="BO17" s="238"/>
      <c r="BP17" s="479"/>
      <c r="BQ17" s="238"/>
      <c r="BR17" s="238"/>
      <c r="BS17" s="238"/>
      <c r="BT17" s="238"/>
      <c r="BU17" s="479"/>
      <c r="BV17" s="238"/>
      <c r="BW17" s="238"/>
      <c r="BX17" s="238"/>
      <c r="BY17" s="238"/>
      <c r="BZ17" s="479"/>
      <c r="CA17" s="238"/>
      <c r="CB17" s="238"/>
      <c r="CC17" s="238"/>
      <c r="CD17" s="238"/>
      <c r="CE17" s="479"/>
    </row>
    <row r="18" spans="2:83" ht="12.6" customHeight="1">
      <c r="B18" s="420" t="s">
        <v>182</v>
      </c>
      <c r="C18" s="425"/>
      <c r="D18" s="171">
        <f t="shared" ref="D18:W18" si="24">+D16/D9</f>
        <v>0.80623849747534326</v>
      </c>
      <c r="E18" s="171">
        <f t="shared" si="24"/>
        <v>0.79468228931951335</v>
      </c>
      <c r="F18" s="171">
        <f t="shared" si="24"/>
        <v>0.80472158070310496</v>
      </c>
      <c r="G18" s="171">
        <f t="shared" si="24"/>
        <v>0.80127347203633859</v>
      </c>
      <c r="H18" s="171">
        <f t="shared" si="24"/>
        <v>0.80170640997593523</v>
      </c>
      <c r="I18" s="171">
        <f t="shared" si="24"/>
        <v>0.77084756661174292</v>
      </c>
      <c r="J18" s="171">
        <f t="shared" si="24"/>
        <v>0.77889772165379789</v>
      </c>
      <c r="K18" s="171">
        <f t="shared" si="24"/>
        <v>0.77253234350787414</v>
      </c>
      <c r="L18" s="171">
        <f t="shared" si="24"/>
        <v>0.77957229932160199</v>
      </c>
      <c r="M18" s="171">
        <f t="shared" si="24"/>
        <v>0.77558770678572098</v>
      </c>
      <c r="N18" s="171">
        <f t="shared" si="24"/>
        <v>0.77938463565687177</v>
      </c>
      <c r="O18" s="171">
        <f t="shared" si="24"/>
        <v>0.78276886880069341</v>
      </c>
      <c r="P18" s="171">
        <f t="shared" si="24"/>
        <v>0.78904157447304069</v>
      </c>
      <c r="Q18" s="171">
        <f t="shared" si="24"/>
        <v>0.80187570065348757</v>
      </c>
      <c r="R18" s="426">
        <f t="shared" si="24"/>
        <v>0.78884405482897757</v>
      </c>
      <c r="S18" s="171">
        <f t="shared" si="24"/>
        <v>0.79633531592563944</v>
      </c>
      <c r="T18" s="171">
        <f t="shared" si="24"/>
        <v>0.80407252300825038</v>
      </c>
      <c r="U18" s="177">
        <f t="shared" si="24"/>
        <v>0.80152581883256024</v>
      </c>
      <c r="V18" s="177">
        <f t="shared" si="24"/>
        <v>0.80296996287546407</v>
      </c>
      <c r="W18" s="504">
        <f t="shared" si="24"/>
        <v>0.80135010104453264</v>
      </c>
      <c r="X18" s="177">
        <f>+(X9-X14)/X9</f>
        <v>0.80459695554402355</v>
      </c>
      <c r="Y18" s="177">
        <f t="shared" ref="Y18:AZ18" si="25">+Y16/Y9</f>
        <v>0.80049931911030414</v>
      </c>
      <c r="Z18" s="177">
        <f t="shared" si="25"/>
        <v>0.7887304607056701</v>
      </c>
      <c r="AA18" s="177">
        <f t="shared" si="25"/>
        <v>0.78674555759803921</v>
      </c>
      <c r="AB18" s="504">
        <f t="shared" si="25"/>
        <v>0.79479600858911204</v>
      </c>
      <c r="AC18" s="171">
        <f t="shared" si="25"/>
        <v>0.77799740215733892</v>
      </c>
      <c r="AD18" s="171">
        <f t="shared" si="25"/>
        <v>0.78993526454739427</v>
      </c>
      <c r="AE18" s="171">
        <f t="shared" si="25"/>
        <v>0.7964363758614893</v>
      </c>
      <c r="AF18" s="426">
        <f>+AF16/AF9</f>
        <v>0.78636255265040134</v>
      </c>
      <c r="AG18" s="504">
        <f t="shared" si="25"/>
        <v>0.78788968409378413</v>
      </c>
      <c r="AH18" s="426">
        <f t="shared" si="25"/>
        <v>0.77436110854218687</v>
      </c>
      <c r="AI18" s="426">
        <f t="shared" si="25"/>
        <v>0.7828415476941587</v>
      </c>
      <c r="AJ18" s="426">
        <f t="shared" si="25"/>
        <v>0.79001646710765028</v>
      </c>
      <c r="AK18" s="426">
        <f t="shared" si="25"/>
        <v>0.78995956873315365</v>
      </c>
      <c r="AL18" s="480">
        <f t="shared" si="25"/>
        <v>0.78460606190993554</v>
      </c>
      <c r="AM18" s="426">
        <f t="shared" si="25"/>
        <v>0.79203111105212165</v>
      </c>
      <c r="AN18" s="426">
        <f t="shared" si="25"/>
        <v>0.80378568080173318</v>
      </c>
      <c r="AO18" s="426">
        <f t="shared" si="25"/>
        <v>0.81812243713031174</v>
      </c>
      <c r="AP18" s="426">
        <f t="shared" si="25"/>
        <v>0.82188415383161673</v>
      </c>
      <c r="AQ18" s="480">
        <f t="shared" ref="AQ18" si="26">+AQ16/AQ9</f>
        <v>0.80948175879256357</v>
      </c>
      <c r="AR18" s="426">
        <f t="shared" si="25"/>
        <v>0.81004602204885057</v>
      </c>
      <c r="AS18" s="426">
        <f t="shared" si="25"/>
        <v>0.81072835753686823</v>
      </c>
      <c r="AT18" s="426">
        <f t="shared" si="25"/>
        <v>0.80369403345904655</v>
      </c>
      <c r="AU18" s="426">
        <f t="shared" si="25"/>
        <v>0.8016898555922406</v>
      </c>
      <c r="AV18" s="664">
        <f t="shared" ref="AV18" si="27">+AV16/AV9</f>
        <v>0.80640175444880058</v>
      </c>
      <c r="AW18" s="426">
        <f t="shared" si="25"/>
        <v>0.80171772293191124</v>
      </c>
      <c r="AX18" s="426">
        <f t="shared" si="25"/>
        <v>0.80852941766464059</v>
      </c>
      <c r="AY18" s="426">
        <f t="shared" si="25"/>
        <v>0.8106142908876055</v>
      </c>
      <c r="AZ18" s="426">
        <f t="shared" si="25"/>
        <v>0.80845327017671709</v>
      </c>
      <c r="BA18" s="664">
        <f t="shared" ref="BA18" si="28">+BA16/BA9</f>
        <v>0.80743824968626265</v>
      </c>
      <c r="BB18" s="177">
        <f>1-(BB14/BB9)</f>
        <v>0.81219361664609413</v>
      </c>
      <c r="BC18" s="177">
        <f t="shared" ref="BC18:BE18" si="29">1-(BC14/BC9)</f>
        <v>0.81330019267179898</v>
      </c>
      <c r="BD18" s="177">
        <f t="shared" si="29"/>
        <v>0.8140585054276408</v>
      </c>
      <c r="BE18" s="177">
        <f t="shared" si="29"/>
        <v>0.80813762428448055</v>
      </c>
      <c r="BF18" s="664">
        <f t="shared" ref="BF18" si="30">+BF16/BF9</f>
        <v>0.81185894883434107</v>
      </c>
      <c r="BG18" s="177">
        <f t="shared" ref="BG18:BJ18" si="31">1-(BG14/BG9)</f>
        <v>0.81164344252886755</v>
      </c>
      <c r="BH18" s="177">
        <f t="shared" si="31"/>
        <v>0.82364130632830213</v>
      </c>
      <c r="BI18" s="177">
        <f t="shared" si="31"/>
        <v>0.83065720161131296</v>
      </c>
      <c r="BJ18" s="177">
        <f t="shared" si="31"/>
        <v>0.83164556962025316</v>
      </c>
      <c r="BK18" s="664">
        <f t="shared" ref="BK18" si="32">+BK16/BK9</f>
        <v>0.82469727193042575</v>
      </c>
      <c r="BL18" s="177">
        <f t="shared" ref="BL18:BO18" si="33">1-(BL14/BL9)</f>
        <v>0.83244058845718594</v>
      </c>
      <c r="BM18" s="177">
        <f t="shared" si="33"/>
        <v>0.83993463700675153</v>
      </c>
      <c r="BN18" s="177">
        <f t="shared" si="33"/>
        <v>0.83072393690654911</v>
      </c>
      <c r="BO18" s="177">
        <f t="shared" si="33"/>
        <v>0.83519168797231003</v>
      </c>
      <c r="BP18" s="664">
        <f t="shared" ref="BP18" si="34">+BP16/BP9</f>
        <v>0.83456089905541908</v>
      </c>
      <c r="BQ18" s="177">
        <f t="shared" ref="BQ18:BT18" si="35">1-(BQ14/BQ9)</f>
        <v>0.83617158331196562</v>
      </c>
      <c r="BR18" s="177">
        <f t="shared" si="35"/>
        <v>0.83995075032609623</v>
      </c>
      <c r="BS18" s="177">
        <f t="shared" si="35"/>
        <v>0.85291555314865608</v>
      </c>
      <c r="BT18" s="177">
        <f t="shared" si="35"/>
        <v>0.8502926712383474</v>
      </c>
      <c r="BU18" s="664">
        <f t="shared" ref="BU18" si="36">+BU16/BU9</f>
        <v>0.84504838408369143</v>
      </c>
      <c r="BV18" s="741">
        <v>0.84</v>
      </c>
      <c r="BW18" s="741">
        <v>0.84</v>
      </c>
      <c r="BX18" s="741">
        <v>0.84299999999999997</v>
      </c>
      <c r="BY18" s="741">
        <v>0.84499999999999997</v>
      </c>
      <c r="BZ18" s="664">
        <f t="shared" ref="BZ18" si="37">+BZ16/BZ9</f>
        <v>0.84206093290141781</v>
      </c>
      <c r="CA18" s="741">
        <v>0.84199999999999997</v>
      </c>
      <c r="CB18" s="741">
        <v>0.84399999999999997</v>
      </c>
      <c r="CC18" s="741">
        <v>0.84499999999999997</v>
      </c>
      <c r="CD18" s="741">
        <v>0.85</v>
      </c>
      <c r="CE18" s="664">
        <f t="shared" ref="CE18" si="38">+CE16/CE9</f>
        <v>0.84531497599305894</v>
      </c>
    </row>
    <row r="19" spans="2:83" ht="6.95" customHeight="1">
      <c r="B19" s="407"/>
      <c r="C19" s="407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427"/>
      <c r="S19" s="216"/>
      <c r="T19" s="216"/>
      <c r="U19" s="216"/>
      <c r="V19" s="216"/>
      <c r="W19" s="505"/>
      <c r="X19" s="216"/>
      <c r="Y19" s="216"/>
      <c r="Z19" s="216"/>
      <c r="AA19" s="216"/>
      <c r="AB19" s="505"/>
      <c r="AC19" s="216"/>
      <c r="AD19" s="216"/>
      <c r="AE19" s="216"/>
      <c r="AF19" s="427"/>
      <c r="AG19" s="505"/>
      <c r="AH19" s="427"/>
      <c r="AI19" s="427"/>
      <c r="AJ19" s="427"/>
      <c r="AK19" s="427"/>
      <c r="AL19" s="481"/>
      <c r="AM19" s="427"/>
      <c r="AN19" s="427"/>
      <c r="AO19" s="427"/>
      <c r="AP19" s="427"/>
      <c r="AQ19" s="481"/>
      <c r="AR19" s="216"/>
      <c r="AS19" s="216"/>
      <c r="AT19" s="216"/>
      <c r="AU19" s="216"/>
      <c r="AV19" s="481"/>
      <c r="AW19" s="216"/>
      <c r="AX19" s="216"/>
      <c r="AY19" s="216"/>
      <c r="AZ19" s="216"/>
      <c r="BA19" s="481"/>
      <c r="BB19" s="216"/>
      <c r="BC19" s="216"/>
      <c r="BD19" s="216"/>
      <c r="BE19" s="216"/>
      <c r="BF19" s="481"/>
      <c r="BG19" s="216"/>
      <c r="BH19" s="216"/>
      <c r="BI19" s="216"/>
      <c r="BJ19" s="216"/>
      <c r="BK19" s="481"/>
      <c r="BL19" s="216"/>
      <c r="BM19" s="216"/>
      <c r="BN19" s="216"/>
      <c r="BO19" s="216"/>
      <c r="BP19" s="481"/>
      <c r="BQ19" s="216"/>
      <c r="BR19" s="216"/>
      <c r="BS19" s="216"/>
      <c r="BT19" s="216"/>
      <c r="BU19" s="481"/>
      <c r="BV19" s="216"/>
      <c r="BW19" s="216"/>
      <c r="BX19" s="216"/>
      <c r="BY19" s="216"/>
      <c r="BZ19" s="481"/>
      <c r="CA19" s="216"/>
      <c r="CB19" s="216"/>
      <c r="CC19" s="216"/>
      <c r="CD19" s="216"/>
      <c r="CE19" s="481"/>
    </row>
    <row r="20" spans="2:83" ht="12.6" customHeight="1">
      <c r="B20" s="415" t="s">
        <v>5</v>
      </c>
      <c r="C20" s="415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428"/>
      <c r="S20" s="181"/>
      <c r="T20" s="181"/>
      <c r="U20" s="181"/>
      <c r="V20" s="181"/>
      <c r="W20" s="506"/>
      <c r="X20" s="181"/>
      <c r="Y20" s="181"/>
      <c r="Z20" s="217"/>
      <c r="AA20" s="181"/>
      <c r="AB20" s="506"/>
      <c r="AC20" s="181"/>
      <c r="AD20" s="181"/>
      <c r="AE20" s="181"/>
      <c r="AF20" s="428"/>
      <c r="AG20" s="506"/>
      <c r="AH20" s="428"/>
      <c r="AI20" s="428"/>
      <c r="AJ20" s="428"/>
      <c r="AK20" s="428"/>
      <c r="AL20" s="482"/>
      <c r="AM20" s="428"/>
      <c r="AN20" s="428"/>
      <c r="AO20" s="428"/>
      <c r="AP20" s="428"/>
      <c r="AQ20" s="482"/>
      <c r="AR20" s="181"/>
      <c r="AS20" s="181"/>
      <c r="AT20" s="181"/>
      <c r="AU20" s="181"/>
      <c r="AV20" s="482"/>
      <c r="AW20" s="181"/>
      <c r="AX20" s="181"/>
      <c r="AY20" s="181"/>
      <c r="AZ20" s="181"/>
      <c r="BA20" s="482"/>
      <c r="BB20" s="181"/>
      <c r="BC20" s="181"/>
      <c r="BD20" s="181"/>
      <c r="BE20" s="181"/>
      <c r="BF20" s="482"/>
      <c r="BG20" s="181"/>
      <c r="BH20" s="181"/>
      <c r="BI20" s="181"/>
      <c r="BJ20" s="181"/>
      <c r="BK20" s="482"/>
      <c r="BL20" s="181"/>
      <c r="BM20" s="181"/>
      <c r="BN20" s="181"/>
      <c r="BO20" s="181"/>
      <c r="BP20" s="482"/>
      <c r="BQ20" s="181"/>
      <c r="BR20" s="181"/>
      <c r="BS20" s="181"/>
      <c r="BT20" s="181"/>
      <c r="BU20" s="482"/>
      <c r="BV20" s="181"/>
      <c r="BW20" s="181"/>
      <c r="BX20" s="181"/>
      <c r="BY20" s="181"/>
      <c r="BZ20" s="482"/>
      <c r="CA20" s="181"/>
      <c r="CB20" s="181"/>
      <c r="CC20" s="181"/>
      <c r="CD20" s="181"/>
      <c r="CE20" s="482"/>
    </row>
    <row r="21" spans="2:83" ht="12.75">
      <c r="B21" s="420" t="s">
        <v>6</v>
      </c>
      <c r="C21" s="407"/>
      <c r="D21" s="216">
        <v>4953</v>
      </c>
      <c r="E21" s="216">
        <v>4979</v>
      </c>
      <c r="F21" s="216">
        <v>4909</v>
      </c>
      <c r="G21" s="216">
        <v>4682</v>
      </c>
      <c r="H21" s="216">
        <f>D21+E21+F21+G21</f>
        <v>19523</v>
      </c>
      <c r="I21" s="216">
        <v>5088.9999999999991</v>
      </c>
      <c r="J21" s="216">
        <v>5055.0000000000009</v>
      </c>
      <c r="K21" s="216">
        <v>4898</v>
      </c>
      <c r="L21" s="216">
        <v>5589.0000000000009</v>
      </c>
      <c r="M21" s="216">
        <f>I21+J21+K21+L21</f>
        <v>20631</v>
      </c>
      <c r="N21" s="216">
        <v>5969</v>
      </c>
      <c r="O21" s="216">
        <v>5893.9999999999991</v>
      </c>
      <c r="P21" s="216">
        <v>5891</v>
      </c>
      <c r="Q21" s="216">
        <v>6096</v>
      </c>
      <c r="R21" s="427">
        <f>N21+O21+P21+Q21</f>
        <v>23850</v>
      </c>
      <c r="S21" s="216">
        <v>5998</v>
      </c>
      <c r="T21" s="216">
        <v>6067</v>
      </c>
      <c r="U21" s="216">
        <v>6270</v>
      </c>
      <c r="V21" s="216">
        <v>6180</v>
      </c>
      <c r="W21" s="505">
        <f>S21+T21+U21+V21</f>
        <v>24515</v>
      </c>
      <c r="X21" s="216">
        <v>6539</v>
      </c>
      <c r="Y21" s="216">
        <v>7650</v>
      </c>
      <c r="Z21" s="216">
        <v>7819.9999999999991</v>
      </c>
      <c r="AA21" s="216">
        <v>7580</v>
      </c>
      <c r="AB21" s="505">
        <f>X21+Y21+Z21+AA21</f>
        <v>29589</v>
      </c>
      <c r="AC21" s="216">
        <v>8602</v>
      </c>
      <c r="AD21" s="216">
        <f>10525-1505</f>
        <v>9020</v>
      </c>
      <c r="AE21" s="216">
        <f>10892-1503</f>
        <v>9389</v>
      </c>
      <c r="AF21" s="427">
        <f>11576-1715-14</f>
        <v>9847</v>
      </c>
      <c r="AG21" s="505">
        <f>AC21+AD21+AE21+AF21</f>
        <v>36858</v>
      </c>
      <c r="AH21" s="427">
        <f>12553-1841-43</f>
        <v>10669</v>
      </c>
      <c r="AI21" s="427">
        <f>13128-1976-43</f>
        <v>11109</v>
      </c>
      <c r="AJ21" s="427">
        <f>12501-1937-38</f>
        <v>10526</v>
      </c>
      <c r="AK21" s="427">
        <v>11742</v>
      </c>
      <c r="AL21" s="481">
        <f>AH21+AI21+AJ21+AK21</f>
        <v>44046</v>
      </c>
      <c r="AM21" s="427">
        <v>13278</v>
      </c>
      <c r="AN21" s="427">
        <v>13914</v>
      </c>
      <c r="AO21" s="427">
        <f>16899-2831-25</f>
        <v>14043</v>
      </c>
      <c r="AP21" s="427">
        <f>17808-3276-25</f>
        <v>14507</v>
      </c>
      <c r="AQ21" s="481">
        <f>AM21+AN21+AO21+AP21</f>
        <v>55742</v>
      </c>
      <c r="AR21" s="216">
        <f>14521</f>
        <v>14521</v>
      </c>
      <c r="AS21" s="216">
        <v>14780</v>
      </c>
      <c r="AT21" s="216">
        <f>17864-3197-25</f>
        <v>14642</v>
      </c>
      <c r="AU21" s="216">
        <f>18643-3615-25</f>
        <v>15003</v>
      </c>
      <c r="AV21" s="481">
        <f>AR21+AS21+AT21+AU21</f>
        <v>58946</v>
      </c>
      <c r="AW21" s="216">
        <f>17749-2215-25</f>
        <v>15509</v>
      </c>
      <c r="AX21" s="216">
        <f>19805-2582-25</f>
        <v>17198</v>
      </c>
      <c r="AY21" s="216">
        <f>21336-2723-45</f>
        <v>18568</v>
      </c>
      <c r="AZ21" s="216">
        <f>22399-3230-85</f>
        <v>19084</v>
      </c>
      <c r="BA21" s="481">
        <f>AW21+AX21+AY21+AZ21</f>
        <v>70359</v>
      </c>
      <c r="BB21" s="216">
        <f>23107-3287-85</f>
        <v>19735</v>
      </c>
      <c r="BC21" s="216">
        <f>24791-3541</f>
        <v>21250</v>
      </c>
      <c r="BD21" s="216">
        <f>25478-3236-85</f>
        <v>22157</v>
      </c>
      <c r="BE21" s="216">
        <f>27810-4521-85</f>
        <v>23204</v>
      </c>
      <c r="BF21" s="481">
        <f>BB21+BC21+BD21+BE21</f>
        <v>86346</v>
      </c>
      <c r="BG21" s="216">
        <f>27795-4960-25</f>
        <v>22810</v>
      </c>
      <c r="BH21" s="216">
        <f>27424-5103-25</f>
        <v>22296</v>
      </c>
      <c r="BI21" s="216">
        <f>27782-5671-25</f>
        <v>22086</v>
      </c>
      <c r="BJ21" s="216">
        <f>27471-5357-25</f>
        <v>22089</v>
      </c>
      <c r="BK21" s="481">
        <f>BG21+BH21+BI21+BJ21</f>
        <v>89281</v>
      </c>
      <c r="BL21" s="216">
        <f>27530-5303-25</f>
        <v>22202</v>
      </c>
      <c r="BM21" s="216">
        <f>27119-5160-25</f>
        <v>21934</v>
      </c>
      <c r="BN21" s="216">
        <f>28901-5448-16</f>
        <v>23437</v>
      </c>
      <c r="BO21" s="216">
        <f>28302-5277</f>
        <v>23025</v>
      </c>
      <c r="BP21" s="481">
        <f>BL21+BM21+BN21+BO21</f>
        <v>90598</v>
      </c>
      <c r="BQ21" s="216">
        <f>29154-5104</f>
        <v>24050</v>
      </c>
      <c r="BR21" s="216">
        <f>30249-4963</f>
        <v>25286</v>
      </c>
      <c r="BS21" s="216">
        <f>28927-5207</f>
        <v>23720</v>
      </c>
      <c r="BT21" s="216">
        <f>28954-4787</f>
        <v>24167</v>
      </c>
      <c r="BU21" s="481">
        <f>BQ21+BR21+BS21+BT21</f>
        <v>97223</v>
      </c>
      <c r="BV21" s="216">
        <f>BT21*(1+BV24)</f>
        <v>25133.68</v>
      </c>
      <c r="BW21" s="216">
        <f t="shared" ref="BW21" si="39">+BV21*(1+BW24)</f>
        <v>26893.037600000003</v>
      </c>
      <c r="BX21" s="216">
        <f t="shared" ref="BX21" si="40">+BW21*(1+BX24)</f>
        <v>28506.619856000005</v>
      </c>
      <c r="BY21" s="216">
        <f t="shared" ref="BY21" si="41">+BX21*(1+BY24)</f>
        <v>29931.950848800006</v>
      </c>
      <c r="BZ21" s="481">
        <f>BV21+BW21+BX21+BY21</f>
        <v>110465.28830480002</v>
      </c>
      <c r="CA21" s="216">
        <f>BY21*(1+CA24)</f>
        <v>29033.992323336006</v>
      </c>
      <c r="CB21" s="216">
        <f t="shared" ref="CB21" si="42">+CA21*(1+CB24)</f>
        <v>29033.992323336006</v>
      </c>
      <c r="CC21" s="216">
        <f t="shared" ref="CC21" si="43">+CB21*(1+CC24)</f>
        <v>28743.652400102645</v>
      </c>
      <c r="CD21" s="216">
        <f t="shared" ref="CD21" si="44">+CC21*(1+CD24)</f>
        <v>29031.088924103671</v>
      </c>
      <c r="CE21" s="481">
        <f>CA21+CB21+CC21+CD21</f>
        <v>115842.72597087832</v>
      </c>
    </row>
    <row r="22" spans="2:83" ht="12.6" customHeight="1">
      <c r="B22" s="420" t="s">
        <v>7</v>
      </c>
      <c r="C22" s="429"/>
      <c r="D22" s="171">
        <f t="shared" ref="D22:AI22" si="45">+D21/D9</f>
        <v>0.23373130102401962</v>
      </c>
      <c r="E22" s="171">
        <f t="shared" si="45"/>
        <v>0.22438035150968905</v>
      </c>
      <c r="F22" s="171">
        <f t="shared" si="45"/>
        <v>0.20994782311179541</v>
      </c>
      <c r="G22" s="171">
        <f t="shared" si="45"/>
        <v>0.18988522529099242</v>
      </c>
      <c r="H22" s="171">
        <f t="shared" si="45"/>
        <v>0.21355283307810108</v>
      </c>
      <c r="I22" s="171">
        <f t="shared" si="45"/>
        <v>0.20451714021621184</v>
      </c>
      <c r="J22" s="171">
        <f t="shared" si="45"/>
        <v>0.19227111939446961</v>
      </c>
      <c r="K22" s="171">
        <f t="shared" si="45"/>
        <v>0.17651086525640564</v>
      </c>
      <c r="L22" s="171">
        <f t="shared" si="45"/>
        <v>0.19246530527910738</v>
      </c>
      <c r="M22" s="171">
        <f t="shared" si="45"/>
        <v>0.19109501491265443</v>
      </c>
      <c r="N22" s="171">
        <f t="shared" si="45"/>
        <v>0.1966332850177889</v>
      </c>
      <c r="O22" s="171">
        <f t="shared" si="45"/>
        <v>0.18246548201349758</v>
      </c>
      <c r="P22" s="171">
        <f t="shared" si="45"/>
        <v>0.17150925818097124</v>
      </c>
      <c r="Q22" s="171">
        <f t="shared" si="45"/>
        <v>0.16668033795422854</v>
      </c>
      <c r="R22" s="426">
        <f t="shared" si="45"/>
        <v>0.17854602894167496</v>
      </c>
      <c r="S22" s="171">
        <f t="shared" si="45"/>
        <v>0.15997652895207104</v>
      </c>
      <c r="T22" s="171">
        <f t="shared" si="45"/>
        <v>0.15214283923063421</v>
      </c>
      <c r="U22" s="171">
        <f t="shared" si="45"/>
        <v>0.14763710000235467</v>
      </c>
      <c r="V22" s="171">
        <f t="shared" si="45"/>
        <v>0.13904826189672628</v>
      </c>
      <c r="W22" s="504">
        <f t="shared" si="45"/>
        <v>0.14922329624309122</v>
      </c>
      <c r="X22" s="171">
        <f t="shared" si="45"/>
        <v>0.14138989794153262</v>
      </c>
      <c r="Y22" s="171">
        <f t="shared" si="45"/>
        <v>0.15784261131514876</v>
      </c>
      <c r="Z22" s="171">
        <f t="shared" si="45"/>
        <v>0.15337242826602857</v>
      </c>
      <c r="AA22" s="171">
        <f t="shared" si="45"/>
        <v>0.14514399509803921</v>
      </c>
      <c r="AB22" s="504">
        <f t="shared" si="45"/>
        <v>0.14949602122015915</v>
      </c>
      <c r="AC22" s="171">
        <f t="shared" si="45"/>
        <v>0.16193219254155608</v>
      </c>
      <c r="AD22" s="171">
        <f t="shared" si="45"/>
        <v>0.16310440852048749</v>
      </c>
      <c r="AE22" s="171">
        <f t="shared" si="45"/>
        <v>0.15782484451168263</v>
      </c>
      <c r="AF22" s="426">
        <f t="shared" si="45"/>
        <v>0.15651275530477629</v>
      </c>
      <c r="AG22" s="504">
        <f t="shared" si="45"/>
        <v>0.15967733550522467</v>
      </c>
      <c r="AH22" s="426">
        <f t="shared" si="45"/>
        <v>0.16444711612565122</v>
      </c>
      <c r="AI22" s="426">
        <f t="shared" si="45"/>
        <v>0.16300089504497234</v>
      </c>
      <c r="AJ22" s="426">
        <f t="shared" ref="AJ22:BA22" si="46">+AJ21/AJ9</f>
        <v>0.14689218231041892</v>
      </c>
      <c r="AK22" s="426">
        <f t="shared" si="46"/>
        <v>0.15824797843665769</v>
      </c>
      <c r="AL22" s="480">
        <f t="shared" si="46"/>
        <v>0.15793380161999934</v>
      </c>
      <c r="AM22" s="426">
        <f t="shared" si="46"/>
        <v>0.17623402306783642</v>
      </c>
      <c r="AN22" s="426">
        <f t="shared" si="46"/>
        <v>0.17628501564697385</v>
      </c>
      <c r="AO22" s="426">
        <f t="shared" si="46"/>
        <v>0.16986609572885292</v>
      </c>
      <c r="AP22" s="426">
        <f t="shared" si="46"/>
        <v>0.17134791646981007</v>
      </c>
      <c r="AQ22" s="480">
        <f t="shared" si="46"/>
        <v>0.17332334184268378</v>
      </c>
      <c r="AR22" s="171">
        <f t="shared" si="46"/>
        <v>0.1683340482014305</v>
      </c>
      <c r="AS22" s="171">
        <f t="shared" si="46"/>
        <v>0.16638523021501744</v>
      </c>
      <c r="AT22" s="171">
        <f t="shared" si="46"/>
        <v>0.1573241358561927</v>
      </c>
      <c r="AU22" s="171">
        <f t="shared" ref="AU22" si="47">+AU21/AU9</f>
        <v>0.15825782428455396</v>
      </c>
      <c r="AV22" s="480">
        <f t="shared" si="46"/>
        <v>0.16240222832630324</v>
      </c>
      <c r="AW22" s="171">
        <f t="shared" ref="AW22:AX22" si="48">+AW21/AW9</f>
        <v>0.16028980114928273</v>
      </c>
      <c r="AX22" s="171">
        <f t="shared" si="48"/>
        <v>0.17249403221600368</v>
      </c>
      <c r="AY22" s="171">
        <f t="shared" ref="AY22:AZ22" si="49">+AY21/AY9</f>
        <v>0.17694932052528256</v>
      </c>
      <c r="AZ22" s="171">
        <f t="shared" si="49"/>
        <v>0.17383858626343596</v>
      </c>
      <c r="BA22" s="480">
        <f t="shared" si="46"/>
        <v>0.17111816952516221</v>
      </c>
      <c r="BB22" s="171">
        <f t="shared" ref="BB22:BF22" si="50">+BB21/BB9</f>
        <v>0.17399929465702699</v>
      </c>
      <c r="BC22" s="171">
        <f t="shared" si="50"/>
        <v>0.1772413735580893</v>
      </c>
      <c r="BD22" s="171">
        <f t="shared" si="50"/>
        <v>0.17646402943589171</v>
      </c>
      <c r="BE22" s="171">
        <f t="shared" si="50"/>
        <v>0.17733417909193039</v>
      </c>
      <c r="BF22" s="480">
        <f t="shared" si="50"/>
        <v>0.17631599904435774</v>
      </c>
      <c r="BG22" s="171">
        <f t="shared" ref="BG22:BK22" si="51">+BG21/BG9</f>
        <v>0.17454450846705385</v>
      </c>
      <c r="BH22" s="171">
        <f t="shared" si="51"/>
        <v>0.16249662922986102</v>
      </c>
      <c r="BI22" s="171">
        <f t="shared" si="51"/>
        <v>0.15553959266458209</v>
      </c>
      <c r="BJ22" s="171">
        <f t="shared" si="51"/>
        <v>0.15279103548454037</v>
      </c>
      <c r="BK22" s="480">
        <f t="shared" si="51"/>
        <v>0.16102391885408815</v>
      </c>
      <c r="BL22" s="171">
        <f t="shared" ref="BL22:BP22" si="52">+BL21/BL9</f>
        <v>0.15227186996330716</v>
      </c>
      <c r="BM22" s="171">
        <f t="shared" si="52"/>
        <v>0.14749710842725341</v>
      </c>
      <c r="BN22" s="171">
        <f t="shared" si="52"/>
        <v>0.15231986065888073</v>
      </c>
      <c r="BO22" s="171">
        <f t="shared" si="52"/>
        <v>0.14463757373218336</v>
      </c>
      <c r="BP22" s="480">
        <f t="shared" si="52"/>
        <v>0.14911508284628464</v>
      </c>
      <c r="BQ22" s="171">
        <f t="shared" ref="BQ22:BS22" si="53">+BQ21/BQ9</f>
        <v>0.15040744469946654</v>
      </c>
      <c r="BR22" s="171">
        <f t="shared" si="53"/>
        <v>0.15412466018944057</v>
      </c>
      <c r="BS22" s="171">
        <f t="shared" si="53"/>
        <v>0.13962632886356413</v>
      </c>
      <c r="BT22" s="171">
        <f t="shared" ref="BT22:BU22" si="54">+BT21/BT9</f>
        <v>0.1378749671957189</v>
      </c>
      <c r="BU22" s="480">
        <f t="shared" si="54"/>
        <v>0.14529871100317579</v>
      </c>
      <c r="BV22" s="171">
        <f t="shared" ref="BV22:BZ22" si="55">+BV21/BV9</f>
        <v>0.14487071230995671</v>
      </c>
      <c r="BW22" s="171">
        <f t="shared" si="55"/>
        <v>0.15177774707574418</v>
      </c>
      <c r="BX22" s="171">
        <f t="shared" si="55"/>
        <v>0.15609532447556623</v>
      </c>
      <c r="BY22" s="171">
        <f t="shared" si="55"/>
        <v>0.15959303202838857</v>
      </c>
      <c r="BZ22" s="480">
        <f t="shared" si="55"/>
        <v>0.15324261803463987</v>
      </c>
      <c r="CA22" s="171">
        <f t="shared" ref="CA22:CE22" si="56">+CA21/CA9</f>
        <v>0.15495568573809171</v>
      </c>
      <c r="CB22" s="171">
        <f t="shared" si="56"/>
        <v>0.15314090983219081</v>
      </c>
      <c r="CC22" s="171">
        <f t="shared" si="56"/>
        <v>0.14848420480998167</v>
      </c>
      <c r="CD22" s="171">
        <f t="shared" si="56"/>
        <v>0.14602807598436804</v>
      </c>
      <c r="CE22" s="480">
        <f t="shared" si="56"/>
        <v>0.1505731682219455</v>
      </c>
    </row>
    <row r="23" spans="2:83" ht="12.75" hidden="1" outlineLevel="1">
      <c r="B23" s="275" t="s">
        <v>128</v>
      </c>
      <c r="C23" s="218"/>
      <c r="D23" s="171"/>
      <c r="E23" s="171"/>
      <c r="F23" s="171"/>
      <c r="G23" s="171"/>
      <c r="H23" s="171"/>
      <c r="I23" s="379">
        <f t="shared" ref="I23:M23" si="57">+I21/D21-1</f>
        <v>2.7458106198263499E-2</v>
      </c>
      <c r="J23" s="379">
        <f t="shared" si="57"/>
        <v>1.5264109258887437E-2</v>
      </c>
      <c r="K23" s="379">
        <f t="shared" si="57"/>
        <v>-2.2407822367080943E-3</v>
      </c>
      <c r="L23" s="379">
        <f t="shared" si="57"/>
        <v>0.19372063220845814</v>
      </c>
      <c r="M23" s="379">
        <f t="shared" si="57"/>
        <v>5.675357270911241E-2</v>
      </c>
      <c r="N23" s="379">
        <f t="shared" ref="N23" si="58">+N21/I21-1</f>
        <v>0.17292198860286923</v>
      </c>
      <c r="O23" s="379">
        <f t="shared" ref="O23" si="59">+O21/J21-1</f>
        <v>0.16597428288822913</v>
      </c>
      <c r="P23" s="379">
        <f t="shared" ref="P23" si="60">+P21/K21-1</f>
        <v>0.20273581053491219</v>
      </c>
      <c r="Q23" s="379">
        <f t="shared" ref="Q23" si="61">+Q21/L21-1</f>
        <v>9.0713902308104943E-2</v>
      </c>
      <c r="R23" s="379">
        <f t="shared" ref="R23" si="62">+R21/M21-1</f>
        <v>0.15602733750181774</v>
      </c>
      <c r="S23" s="379">
        <f t="shared" ref="S23" si="63">+S21/N21-1</f>
        <v>4.8584352487854865E-3</v>
      </c>
      <c r="T23" s="379">
        <f t="shared" ref="T23" si="64">+T21/O21-1</f>
        <v>2.9351883271123258E-2</v>
      </c>
      <c r="U23" s="379">
        <f t="shared" ref="U23" si="65">+U21/P21-1</f>
        <v>6.433542692242411E-2</v>
      </c>
      <c r="V23" s="379">
        <f t="shared" ref="V23" si="66">+V21/Q21-1</f>
        <v>1.3779527559055094E-2</v>
      </c>
      <c r="W23" s="497">
        <f t="shared" ref="W23" si="67">+W21/R21-1</f>
        <v>2.7882599580712819E-2</v>
      </c>
      <c r="X23" s="379">
        <f t="shared" ref="X23" si="68">+X21/S21-1</f>
        <v>9.0196732244081312E-2</v>
      </c>
      <c r="Y23" s="379">
        <f t="shared" ref="Y23" si="69">+Y21/T21-1</f>
        <v>0.26091972968518218</v>
      </c>
      <c r="Z23" s="379">
        <f t="shared" ref="Z23" si="70">+Z21/U21-1</f>
        <v>0.24720893141945766</v>
      </c>
      <c r="AA23" s="379">
        <f t="shared" ref="AA23" si="71">+AA21/V21-1</f>
        <v>0.22653721682847894</v>
      </c>
      <c r="AB23" s="497">
        <f t="shared" ref="AB23" si="72">+AB21/W21-1</f>
        <v>0.20697532123189877</v>
      </c>
      <c r="AC23" s="379">
        <f t="shared" ref="AC23" si="73">+AC21/X21-1</f>
        <v>0.31549166539226192</v>
      </c>
      <c r="AD23" s="379">
        <f t="shared" ref="AD23" si="74">+AD21/Y21-1</f>
        <v>0.17908496732026147</v>
      </c>
      <c r="AE23" s="379">
        <f t="shared" ref="AE23" si="75">+AE21/Z21-1</f>
        <v>0.20063938618925836</v>
      </c>
      <c r="AF23" s="379">
        <f t="shared" ref="AF23" si="76">+AF21/AA21-1</f>
        <v>0.29907651715039574</v>
      </c>
      <c r="AG23" s="497">
        <f t="shared" ref="AG23" si="77">+AG21/AB21-1</f>
        <v>0.24566561898002637</v>
      </c>
      <c r="AH23" s="379">
        <f t="shared" ref="AH23" si="78">+AH21/AC21-1</f>
        <v>0.24029295512671478</v>
      </c>
      <c r="AI23" s="379">
        <f t="shared" ref="AI23" si="79">+AI21/AD21-1</f>
        <v>0.23159645232815973</v>
      </c>
      <c r="AJ23" s="379">
        <f t="shared" ref="AJ23" si="80">+AJ21/AE21-1</f>
        <v>0.12109915858983911</v>
      </c>
      <c r="AK23" s="379">
        <f t="shared" ref="AK23" si="81">+AK21/AF21-1</f>
        <v>0.19244439930943424</v>
      </c>
      <c r="AL23" s="473">
        <f t="shared" ref="AL23" si="82">+AL21/AG21-1</f>
        <v>0.19501872049487212</v>
      </c>
      <c r="AM23" s="379">
        <f t="shared" ref="AM23" si="83">+AM21/AH21-1</f>
        <v>0.24454025681882086</v>
      </c>
      <c r="AN23" s="379">
        <f t="shared" ref="AN23" si="84">+AN21/AI21-1</f>
        <v>0.25249797461517698</v>
      </c>
      <c r="AO23" s="379">
        <f t="shared" ref="AO23" si="85">+AO21/AJ21-1</f>
        <v>0.33412502375071251</v>
      </c>
      <c r="AP23" s="379">
        <f t="shared" ref="AP23" si="86">+AP21/AK21-1</f>
        <v>0.23547947538749781</v>
      </c>
      <c r="AQ23" s="473">
        <f t="shared" ref="AQ23" si="87">+AQ21/AL21-1</f>
        <v>0.26554057122099617</v>
      </c>
      <c r="AR23" s="379">
        <f t="shared" ref="AR23" si="88">+AR21/AM21-1</f>
        <v>9.3613496008434938E-2</v>
      </c>
      <c r="AS23" s="379">
        <f t="shared" ref="AS23" si="89">+AS21/AN21-1</f>
        <v>6.223947103636629E-2</v>
      </c>
      <c r="AT23" s="379">
        <f t="shared" ref="AT23:AU23" si="90">+AT21/AO21-1</f>
        <v>4.2654703410952122E-2</v>
      </c>
      <c r="AU23" s="379">
        <f t="shared" si="90"/>
        <v>3.4190390845798557E-2</v>
      </c>
      <c r="AV23" s="473">
        <f t="shared" ref="AV23:AZ23" si="91">+AV21/AQ21-1</f>
        <v>5.7479100139930406E-2</v>
      </c>
      <c r="AW23" s="379">
        <f t="shared" si="91"/>
        <v>6.8039391226499601E-2</v>
      </c>
      <c r="AX23" s="379">
        <f t="shared" si="91"/>
        <v>0.16359945872801074</v>
      </c>
      <c r="AY23" s="379">
        <f t="shared" si="91"/>
        <v>0.26813276874743885</v>
      </c>
      <c r="AZ23" s="379">
        <f t="shared" si="91"/>
        <v>0.27201226421382385</v>
      </c>
      <c r="BA23" s="473">
        <f t="shared" ref="BA23" si="92">+BA21/AV21-1</f>
        <v>0.19361788755810405</v>
      </c>
      <c r="BB23" s="379">
        <f t="shared" ref="BB23" si="93">+BB21/AW21-1</f>
        <v>0.27248694306531696</v>
      </c>
      <c r="BC23" s="379">
        <f t="shared" ref="BC23" si="94">+BC21/AX21-1</f>
        <v>0.2356087917199674</v>
      </c>
      <c r="BD23" s="379">
        <f t="shared" ref="BD23" si="95">+BD21/AY21-1</f>
        <v>0.19328953037483854</v>
      </c>
      <c r="BE23" s="379">
        <f t="shared" ref="BE23" si="96">+BE21/AZ21-1</f>
        <v>0.21588765457975256</v>
      </c>
      <c r="BF23" s="473">
        <f t="shared" ref="BF23" si="97">+BF21/BA21-1</f>
        <v>0.22722039824329521</v>
      </c>
      <c r="BG23" s="379">
        <f t="shared" ref="BG23" si="98">+BG21/BB21-1</f>
        <v>0.1558145426906512</v>
      </c>
      <c r="BH23" s="379">
        <f t="shared" ref="BH23" si="99">+BH21/BC21-1</f>
        <v>4.9223529411764666E-2</v>
      </c>
      <c r="BI23" s="379">
        <f t="shared" ref="BI23" si="100">+BI21/BD21-1</f>
        <v>-3.2044049284650766E-3</v>
      </c>
      <c r="BJ23" s="379">
        <f t="shared" ref="BJ23" si="101">+BJ21/BE21-1</f>
        <v>-4.8052059989657003E-2</v>
      </c>
      <c r="BK23" s="473">
        <f t="shared" ref="BK23" si="102">+BK21/BF21-1</f>
        <v>3.3991151877330816E-2</v>
      </c>
      <c r="BL23" s="379">
        <f t="shared" ref="BL23" si="103">+BL21/BG21-1</f>
        <v>-2.6654975887768551E-2</v>
      </c>
      <c r="BM23" s="379">
        <f t="shared" ref="BM23" si="104">+BM21/BH21-1</f>
        <v>-1.6236096160746283E-2</v>
      </c>
      <c r="BN23" s="379">
        <f t="shared" ref="BN23" si="105">+BN21/BI21-1</f>
        <v>6.1169971927918176E-2</v>
      </c>
      <c r="BO23" s="379">
        <f t="shared" ref="BO23" si="106">+BO21/BJ21-1</f>
        <v>4.2374032323781119E-2</v>
      </c>
      <c r="BP23" s="473">
        <f t="shared" ref="BP23:BS23" si="107">+BP21/BK21-1</f>
        <v>1.4751178862243863E-2</v>
      </c>
      <c r="BQ23" s="379">
        <f t="shared" si="107"/>
        <v>8.3235744527520028E-2</v>
      </c>
      <c r="BR23" s="379">
        <f t="shared" si="107"/>
        <v>0.15282210267165142</v>
      </c>
      <c r="BS23" s="379">
        <f t="shared" si="107"/>
        <v>1.2074924265051079E-2</v>
      </c>
      <c r="BT23" s="379">
        <f t="shared" ref="BT23" si="108">+BT21/BO21-1</f>
        <v>4.9598262757871936E-2</v>
      </c>
      <c r="BU23" s="473">
        <f t="shared" ref="BU23" si="109">+BU21/BP21-1</f>
        <v>7.3125234552639196E-2</v>
      </c>
      <c r="BV23" s="379">
        <f t="shared" ref="BV23" si="110">+BV21/BQ21-1</f>
        <v>4.505945945945955E-2</v>
      </c>
      <c r="BW23" s="379">
        <f t="shared" ref="BW23" si="111">+BW21/BR21-1</f>
        <v>6.3554441192755107E-2</v>
      </c>
      <c r="BX23" s="379">
        <f t="shared" ref="BX23" si="112">+BX21/BS21-1</f>
        <v>0.20179678988195637</v>
      </c>
      <c r="BY23" s="379">
        <f t="shared" ref="BY23" si="113">+BY21/BT21-1</f>
        <v>0.23854640000000016</v>
      </c>
      <c r="BZ23" s="473">
        <f t="shared" ref="BZ23" si="114">+BZ21/BU21-1</f>
        <v>0.13620530434979394</v>
      </c>
      <c r="CA23" s="379">
        <f t="shared" ref="CA23" si="115">+CA21/BV21-1</f>
        <v>0.15518270000000012</v>
      </c>
      <c r="CB23" s="379">
        <f t="shared" ref="CB23" si="116">+CB21/BW21-1</f>
        <v>7.9610000000000181E-2</v>
      </c>
      <c r="CC23" s="379">
        <f t="shared" ref="CC23" si="117">+CC21/BX21-1</f>
        <v>8.3150000000000723E-3</v>
      </c>
      <c r="CD23" s="379">
        <f t="shared" ref="CD23" si="118">+CD21/BY21-1</f>
        <v>-3.009700000000004E-2</v>
      </c>
      <c r="CE23" s="473">
        <f t="shared" ref="CE23" si="119">+CE21/BZ21-1</f>
        <v>4.8679886221277613E-2</v>
      </c>
    </row>
    <row r="24" spans="2:83" ht="12.95" hidden="1" customHeight="1" outlineLevel="1">
      <c r="B24" s="275" t="s">
        <v>226</v>
      </c>
      <c r="C24" s="218"/>
      <c r="D24" s="380"/>
      <c r="E24" s="380">
        <f>+E21/D21-1</f>
        <v>5.249343832020914E-3</v>
      </c>
      <c r="F24" s="380">
        <f>+F21/E21-1</f>
        <v>-1.4059048001606733E-2</v>
      </c>
      <c r="G24" s="380">
        <f>+G21/F21-1</f>
        <v>-4.624159706661235E-2</v>
      </c>
      <c r="H24" s="171"/>
      <c r="I24" s="380">
        <f>+I21/G21-1</f>
        <v>8.6928662964544934E-2</v>
      </c>
      <c r="J24" s="380">
        <f>+J21/I21-1</f>
        <v>-6.6810768323831704E-3</v>
      </c>
      <c r="K24" s="380">
        <f>+K21/J21-1</f>
        <v>-3.1058358061325619E-2</v>
      </c>
      <c r="L24" s="380">
        <f>+L21/K21-1</f>
        <v>0.14107799101674168</v>
      </c>
      <c r="M24" s="380"/>
      <c r="N24" s="380">
        <f>+N21/L21-1</f>
        <v>6.7990696010019613E-2</v>
      </c>
      <c r="O24" s="380">
        <f>+O21/N21-1</f>
        <v>-1.2564918746858944E-2</v>
      </c>
      <c r="P24" s="380">
        <f>+P21/O21-1</f>
        <v>-5.0899219545286201E-4</v>
      </c>
      <c r="Q24" s="380">
        <f>+Q21/P21-1</f>
        <v>3.4798845696825564E-2</v>
      </c>
      <c r="R24" s="380"/>
      <c r="S24" s="380">
        <f>+S21/Q21-1</f>
        <v>-1.6076115485564313E-2</v>
      </c>
      <c r="T24" s="380">
        <f>+T21/S21-1</f>
        <v>1.1503834611537256E-2</v>
      </c>
      <c r="U24" s="380">
        <f>+U21/T21-1</f>
        <v>3.3459700016482685E-2</v>
      </c>
      <c r="V24" s="380">
        <f>+V21/U21-1</f>
        <v>-1.4354066985645897E-2</v>
      </c>
      <c r="W24" s="498"/>
      <c r="X24" s="380">
        <f>+X21/V21-1</f>
        <v>5.8090614886731284E-2</v>
      </c>
      <c r="Y24" s="380">
        <f>+Y21/X21-1</f>
        <v>0.1699036549931181</v>
      </c>
      <c r="Z24" s="380">
        <f>+Z21/Y21-1</f>
        <v>2.2222222222222143E-2</v>
      </c>
      <c r="AA24" s="380">
        <f>+AA21/Z21-1</f>
        <v>-3.0690537084398839E-2</v>
      </c>
      <c r="AB24" s="498"/>
      <c r="AC24" s="380">
        <f>+AC21/AA21-1</f>
        <v>0.13482849604221636</v>
      </c>
      <c r="AD24" s="380">
        <f>+AD21/AC21-1</f>
        <v>4.8593350383631773E-2</v>
      </c>
      <c r="AE24" s="380">
        <f>+AE21/AD21-1</f>
        <v>4.0909090909091006E-2</v>
      </c>
      <c r="AF24" s="395">
        <f>+AF21/AE21-1</f>
        <v>4.8780487804878092E-2</v>
      </c>
      <c r="AG24" s="498"/>
      <c r="AH24" s="380">
        <f>+AH21/AF21-1</f>
        <v>8.3477201178023819E-2</v>
      </c>
      <c r="AI24" s="395">
        <f>+AI21/AH21-1</f>
        <v>4.1240978535945327E-2</v>
      </c>
      <c r="AJ24" s="395">
        <f>+AJ21/AI21-1</f>
        <v>-5.2479971194526964E-2</v>
      </c>
      <c r="AK24" s="395">
        <f>+AK21/AJ21-1</f>
        <v>0.11552346570397121</v>
      </c>
      <c r="AL24" s="474"/>
      <c r="AM24" s="380">
        <f>+AM21/AK21-1</f>
        <v>0.13081246806336222</v>
      </c>
      <c r="AN24" s="395">
        <f>+AN21/AM21-1</f>
        <v>4.7898779936737412E-2</v>
      </c>
      <c r="AO24" s="395">
        <f>+AO21/AN21-1</f>
        <v>9.2712376024148835E-3</v>
      </c>
      <c r="AP24" s="395">
        <f>+AP21/AO21-1</f>
        <v>3.3041372926013057E-2</v>
      </c>
      <c r="AQ24" s="474"/>
      <c r="AR24" s="380">
        <f>+AR21/AP21-1</f>
        <v>9.650513545185202E-4</v>
      </c>
      <c r="AS24" s="395">
        <f>+AS21/AR21-1</f>
        <v>1.7836237173748382E-2</v>
      </c>
      <c r="AT24" s="395">
        <f>+AT21/AS21-1</f>
        <v>-9.3369418132611681E-3</v>
      </c>
      <c r="AU24" s="395">
        <f>+AU21/AT21-1</f>
        <v>2.4655101762054432E-2</v>
      </c>
      <c r="AV24" s="474"/>
      <c r="AW24" s="380">
        <f>+AW21/AU21-1</f>
        <v>3.3726588015730252E-2</v>
      </c>
      <c r="AX24" s="395">
        <f>+AX21/AW21-1</f>
        <v>0.10890450706041643</v>
      </c>
      <c r="AY24" s="395">
        <f>+AY21/AX21-1</f>
        <v>7.9660425630887266E-2</v>
      </c>
      <c r="AZ24" s="395">
        <f>+AZ21/AY21-1</f>
        <v>2.7789745799224441E-2</v>
      </c>
      <c r="BA24" s="474"/>
      <c r="BB24" s="380">
        <f>+BB21/AZ21-1</f>
        <v>3.4112345420247436E-2</v>
      </c>
      <c r="BC24" s="395">
        <f>+BC21/BB21-1</f>
        <v>7.6767164935394039E-2</v>
      </c>
      <c r="BD24" s="395">
        <f>+BD21/BC21-1</f>
        <v>4.2682352941176394E-2</v>
      </c>
      <c r="BE24" s="395">
        <f>+BE21/BD21-1</f>
        <v>4.7253689578914182E-2</v>
      </c>
      <c r="BF24" s="474"/>
      <c r="BG24" s="380">
        <f>+BG21/BE21-1</f>
        <v>-1.6979831063609674E-2</v>
      </c>
      <c r="BH24" s="395">
        <f>+BH21/BG21-1</f>
        <v>-2.2533976326172711E-2</v>
      </c>
      <c r="BI24" s="395">
        <f>+BI21/BH21-1</f>
        <v>-9.4187298170075318E-3</v>
      </c>
      <c r="BJ24" s="395">
        <f>+BJ21/BI21-1</f>
        <v>1.3583265417005386E-4</v>
      </c>
      <c r="BK24" s="474"/>
      <c r="BL24" s="380">
        <f>+BL21/BJ21-1</f>
        <v>5.115668432251308E-3</v>
      </c>
      <c r="BM24" s="380">
        <f>+BM21/BL21-1</f>
        <v>-1.2070984595982326E-2</v>
      </c>
      <c r="BN24" s="380">
        <f>+BN21/BM21-1</f>
        <v>6.8523753077414096E-2</v>
      </c>
      <c r="BO24" s="380">
        <f>+BO21/BN21-1</f>
        <v>-1.7579041686222596E-2</v>
      </c>
      <c r="BP24" s="474"/>
      <c r="BQ24" s="380">
        <f>+BQ21/BO21-1</f>
        <v>4.4516829533116198E-2</v>
      </c>
      <c r="BR24" s="380">
        <f>+BR21/BQ21-1</f>
        <v>5.1392931392931329E-2</v>
      </c>
      <c r="BS24" s="380">
        <f>+BS21/BR21-1</f>
        <v>-6.1931503598829374E-2</v>
      </c>
      <c r="BT24" s="380">
        <f>+BT21/BS21-1</f>
        <v>1.8844856661045517E-2</v>
      </c>
      <c r="BU24" s="474"/>
      <c r="BV24" s="382">
        <v>0.04</v>
      </c>
      <c r="BW24" s="382">
        <v>7.0000000000000007E-2</v>
      </c>
      <c r="BX24" s="382">
        <v>0.06</v>
      </c>
      <c r="BY24" s="382">
        <v>0.05</v>
      </c>
      <c r="BZ24" s="474"/>
      <c r="CA24" s="382">
        <v>-0.03</v>
      </c>
      <c r="CB24" s="382">
        <v>0</v>
      </c>
      <c r="CC24" s="382">
        <v>-0.01</v>
      </c>
      <c r="CD24" s="382">
        <v>0.01</v>
      </c>
      <c r="CE24" s="474"/>
    </row>
    <row r="25" spans="2:83" ht="12.6" customHeight="1" collapsed="1">
      <c r="B25" s="420"/>
      <c r="C25" s="429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426"/>
      <c r="S25" s="171"/>
      <c r="T25" s="171"/>
      <c r="U25" s="171"/>
      <c r="V25" s="171"/>
      <c r="W25" s="504"/>
      <c r="X25" s="171"/>
      <c r="Y25" s="171"/>
      <c r="Z25" s="171"/>
      <c r="AA25" s="171"/>
      <c r="AB25" s="504"/>
      <c r="AC25" s="171"/>
      <c r="AD25" s="171"/>
      <c r="AE25" s="171"/>
      <c r="AF25" s="426"/>
      <c r="AG25" s="504"/>
      <c r="AH25" s="426"/>
      <c r="AI25" s="426"/>
      <c r="AJ25" s="426"/>
      <c r="AK25" s="426"/>
      <c r="AL25" s="480"/>
      <c r="AM25" s="426"/>
      <c r="AN25" s="426"/>
      <c r="AO25" s="426"/>
      <c r="AP25" s="426"/>
      <c r="AQ25" s="480"/>
      <c r="AR25" s="171"/>
      <c r="AS25" s="171"/>
      <c r="AT25" s="171"/>
      <c r="AU25" s="171"/>
      <c r="AV25" s="480"/>
      <c r="AW25" s="171"/>
      <c r="AX25" s="171"/>
      <c r="AY25" s="171"/>
      <c r="AZ25" s="171"/>
      <c r="BA25" s="480"/>
      <c r="BB25" s="171"/>
      <c r="BC25" s="171"/>
      <c r="BD25" s="171"/>
      <c r="BE25" s="171"/>
      <c r="BF25" s="480"/>
      <c r="BG25" s="171"/>
      <c r="BH25" s="171"/>
      <c r="BI25" s="171"/>
      <c r="BJ25" s="171"/>
      <c r="BK25" s="480"/>
      <c r="BL25" s="171"/>
      <c r="BM25" s="171"/>
      <c r="BN25" s="171"/>
      <c r="BO25" s="171"/>
      <c r="BP25" s="480"/>
      <c r="BQ25" s="171"/>
      <c r="BR25" s="171"/>
      <c r="BS25" s="171"/>
      <c r="BT25" s="171"/>
      <c r="BU25" s="480"/>
      <c r="BV25" s="171"/>
      <c r="BW25" s="171"/>
      <c r="BX25" s="171"/>
      <c r="BY25" s="171"/>
      <c r="BZ25" s="480"/>
      <c r="CA25" s="171"/>
      <c r="CB25" s="171"/>
      <c r="CC25" s="171"/>
      <c r="CD25" s="171"/>
      <c r="CE25" s="480"/>
    </row>
    <row r="26" spans="2:83" ht="12.6" customHeight="1">
      <c r="B26" s="420" t="s">
        <v>118</v>
      </c>
      <c r="C26" s="407"/>
      <c r="D26" s="216">
        <v>9047</v>
      </c>
      <c r="E26" s="216">
        <v>9476</v>
      </c>
      <c r="F26" s="216">
        <v>8448</v>
      </c>
      <c r="G26" s="216">
        <v>9692.9999999999964</v>
      </c>
      <c r="H26" s="216">
        <f>D26+E26+F26+G26</f>
        <v>36664</v>
      </c>
      <c r="I26" s="216">
        <v>9885</v>
      </c>
      <c r="J26" s="216">
        <v>10002</v>
      </c>
      <c r="K26" s="216">
        <v>10048</v>
      </c>
      <c r="L26" s="216">
        <v>11344.000000000004</v>
      </c>
      <c r="M26" s="216">
        <f>I26+J26+K26+L26</f>
        <v>41279</v>
      </c>
      <c r="N26" s="216">
        <v>11919</v>
      </c>
      <c r="O26" s="216">
        <v>11127</v>
      </c>
      <c r="P26" s="216">
        <v>11213</v>
      </c>
      <c r="Q26" s="216">
        <v>11383</v>
      </c>
      <c r="R26" s="427">
        <f>N26+O26+P26+Q26</f>
        <v>45642</v>
      </c>
      <c r="S26" s="216">
        <v>10632</v>
      </c>
      <c r="T26" s="216">
        <v>11796</v>
      </c>
      <c r="U26" s="216">
        <v>11267</v>
      </c>
      <c r="V26" s="216">
        <v>12007</v>
      </c>
      <c r="W26" s="505">
        <f>S26+T26+U26+V26</f>
        <v>45702</v>
      </c>
      <c r="X26" s="216">
        <v>12684</v>
      </c>
      <c r="Y26" s="216">
        <v>13062.000000000002</v>
      </c>
      <c r="Z26" s="216">
        <v>13419</v>
      </c>
      <c r="AA26" s="216">
        <v>13935</v>
      </c>
      <c r="AB26" s="505">
        <f>X26+Y26+Z26+AA26</f>
        <v>53100</v>
      </c>
      <c r="AC26" s="216">
        <v>14930</v>
      </c>
      <c r="AD26" s="216">
        <f>15383-1129</f>
        <v>14254</v>
      </c>
      <c r="AE26" s="216">
        <f>15475-1231</f>
        <v>14244</v>
      </c>
      <c r="AF26" s="427">
        <f>16983-1311-79</f>
        <v>15593</v>
      </c>
      <c r="AG26" s="505">
        <f>AC26+AD26+AE26+AF26</f>
        <v>59021</v>
      </c>
      <c r="AH26" s="427">
        <f>16233-1401-235</f>
        <v>14597</v>
      </c>
      <c r="AI26" s="427">
        <f>18976-1105-1567</f>
        <v>16304</v>
      </c>
      <c r="AJ26" s="427">
        <f>15489-1163</f>
        <v>14326</v>
      </c>
      <c r="AK26" s="427">
        <v>18360</v>
      </c>
      <c r="AL26" s="481">
        <f>AH26+AI26+AJ26+AK26</f>
        <v>63587</v>
      </c>
      <c r="AM26" s="427">
        <v>16247</v>
      </c>
      <c r="AN26" s="427">
        <v>16098</v>
      </c>
      <c r="AO26" s="427">
        <f>17009-1459</f>
        <v>15550</v>
      </c>
      <c r="AP26" s="427">
        <f>19344-1395</f>
        <v>17949</v>
      </c>
      <c r="AQ26" s="481">
        <f>AM26+AN26+AO26+AP26</f>
        <v>65844</v>
      </c>
      <c r="AR26" s="216">
        <v>16670</v>
      </c>
      <c r="AS26" s="216">
        <v>14270</v>
      </c>
      <c r="AT26" s="216">
        <f>16060-1227</f>
        <v>14833</v>
      </c>
      <c r="AU26" s="216">
        <f>17892-1484</f>
        <v>16408</v>
      </c>
      <c r="AV26" s="481">
        <f>AR26+AS26+AT26+AU26</f>
        <v>62181</v>
      </c>
      <c r="AW26" s="216">
        <f>17989-1628</f>
        <v>16361</v>
      </c>
      <c r="AX26" s="216">
        <f>17770-1086</f>
        <v>16684</v>
      </c>
      <c r="AY26" s="216">
        <f>18569-1642</f>
        <v>16927</v>
      </c>
      <c r="AZ26" s="216">
        <f>22159-1967</f>
        <v>20192</v>
      </c>
      <c r="BA26" s="481">
        <f>AW26+AX26+AY26+AZ26</f>
        <v>70164</v>
      </c>
      <c r="BB26" s="216">
        <f>20142-2031</f>
        <v>18111</v>
      </c>
      <c r="BC26" s="216">
        <f>23730-2305-85</f>
        <v>21340</v>
      </c>
      <c r="BD26" s="216">
        <f>25047-2495</f>
        <v>22552</v>
      </c>
      <c r="BE26" s="216">
        <f>28302-3007</f>
        <v>25295</v>
      </c>
      <c r="BF26" s="481">
        <f>BB26+BC26+BD26+BE26</f>
        <v>87298</v>
      </c>
      <c r="BG26" s="216">
        <f>25628-2454</f>
        <v>23174</v>
      </c>
      <c r="BH26" s="216">
        <f>26241-2897</f>
        <v>23344</v>
      </c>
      <c r="BI26" s="216">
        <f>27881-3229</f>
        <v>24652</v>
      </c>
      <c r="BJ26" s="216">
        <f>31941-3654</f>
        <v>28287</v>
      </c>
      <c r="BK26" s="481">
        <f>BG26+BH26+BI26+BJ26</f>
        <v>99457</v>
      </c>
      <c r="BL26" s="216">
        <f>29408-3739</f>
        <v>25669</v>
      </c>
      <c r="BM26" s="216">
        <f>32146-3632</f>
        <v>28514</v>
      </c>
      <c r="BN26" s="216">
        <f>32686-3649</f>
        <v>29037</v>
      </c>
      <c r="BO26" s="216">
        <f>34063-3670</f>
        <v>30393</v>
      </c>
      <c r="BP26" s="481">
        <f>BL26+BM26+BN26+BO26</f>
        <v>113613</v>
      </c>
      <c r="BQ26" s="216">
        <f>32660-3200</f>
        <v>29460</v>
      </c>
      <c r="BR26" s="216">
        <f>35810-3083</f>
        <v>32727</v>
      </c>
      <c r="BS26" s="216">
        <f>35280-3490</f>
        <v>31790</v>
      </c>
      <c r="BT26" s="216">
        <f>39755-4034</f>
        <v>35721</v>
      </c>
      <c r="BU26" s="481">
        <f>BQ26+BR26+BS26+BT26</f>
        <v>129698</v>
      </c>
      <c r="BV26" s="216">
        <f>BT26*(1+BV29)</f>
        <v>36078.21</v>
      </c>
      <c r="BW26" s="216">
        <f t="shared" ref="BW26" si="120">+BV26*(1+BW29)</f>
        <v>37882.120499999997</v>
      </c>
      <c r="BX26" s="216">
        <f t="shared" ref="BX26" si="121">+BW26*(1+BX29)</f>
        <v>38639.762909999998</v>
      </c>
      <c r="BY26" s="216">
        <f t="shared" ref="BY26" si="122">+BX26*(1+BY29)</f>
        <v>41344.546313699997</v>
      </c>
      <c r="BZ26" s="481">
        <f>BV26+BW26+BX26+BY26</f>
        <v>153944.63972370001</v>
      </c>
      <c r="CA26" s="216">
        <f>BY26*(1+CA29)</f>
        <v>39690.764461151994</v>
      </c>
      <c r="CB26" s="216">
        <f t="shared" ref="CB26" si="123">+CA26*(1+CB29)</f>
        <v>40484.579750375036</v>
      </c>
      <c r="CC26" s="216">
        <f t="shared" ref="CC26" si="124">+CB26*(1+CC29)</f>
        <v>40889.425547878789</v>
      </c>
      <c r="CD26" s="216">
        <f t="shared" ref="CD26" si="125">+CC26*(1+CD29)</f>
        <v>41707.214058836369</v>
      </c>
      <c r="CE26" s="481">
        <f>CA26+CB26+CC26+CD26</f>
        <v>162771.98381824218</v>
      </c>
    </row>
    <row r="27" spans="2:83" ht="12.75">
      <c r="B27" s="420" t="s">
        <v>7</v>
      </c>
      <c r="C27" s="429"/>
      <c r="D27" s="171">
        <f t="shared" ref="D27:AI27" si="126">+D26/D9</f>
        <v>0.42692652541173137</v>
      </c>
      <c r="E27" s="171">
        <f t="shared" si="126"/>
        <v>0.42703920684993241</v>
      </c>
      <c r="F27" s="171">
        <f t="shared" si="126"/>
        <v>0.361303566846292</v>
      </c>
      <c r="G27" s="171">
        <f t="shared" si="126"/>
        <v>0.39311351745954481</v>
      </c>
      <c r="H27" s="171">
        <f t="shared" si="126"/>
        <v>0.4010500984467294</v>
      </c>
      <c r="I27" s="171">
        <f t="shared" si="126"/>
        <v>0.39725917292930918</v>
      </c>
      <c r="J27" s="171">
        <f t="shared" si="126"/>
        <v>0.38043436917576356</v>
      </c>
      <c r="K27" s="171">
        <f t="shared" si="126"/>
        <v>0.36210313885185053</v>
      </c>
      <c r="L27" s="171">
        <f t="shared" si="126"/>
        <v>0.39064706084920275</v>
      </c>
      <c r="M27" s="171">
        <f t="shared" si="126"/>
        <v>0.38234749263629791</v>
      </c>
      <c r="N27" s="171">
        <f t="shared" si="126"/>
        <v>0.3926406641191198</v>
      </c>
      <c r="O27" s="171">
        <f t="shared" si="126"/>
        <v>0.34446783480899018</v>
      </c>
      <c r="P27" s="171">
        <f t="shared" si="126"/>
        <v>0.32645277745429135</v>
      </c>
      <c r="Q27" s="171">
        <f t="shared" si="126"/>
        <v>0.31124053263336343</v>
      </c>
      <c r="R27" s="426">
        <f t="shared" si="126"/>
        <v>0.34168544456838273</v>
      </c>
      <c r="S27" s="171">
        <f t="shared" si="126"/>
        <v>0.28357293361427466</v>
      </c>
      <c r="T27" s="171">
        <f t="shared" si="126"/>
        <v>0.29580961456478672</v>
      </c>
      <c r="U27" s="171">
        <f t="shared" si="126"/>
        <v>0.26529939485271609</v>
      </c>
      <c r="V27" s="171">
        <f t="shared" si="126"/>
        <v>0.27015412307346159</v>
      </c>
      <c r="W27" s="504">
        <f t="shared" si="126"/>
        <v>0.27818898979815443</v>
      </c>
      <c r="X27" s="171">
        <f t="shared" si="126"/>
        <v>0.27426050856253242</v>
      </c>
      <c r="Y27" s="171">
        <f t="shared" si="126"/>
        <v>0.26950852143770893</v>
      </c>
      <c r="Z27" s="171">
        <f t="shared" si="126"/>
        <v>0.26318473336340636</v>
      </c>
      <c r="AA27" s="171">
        <f t="shared" si="126"/>
        <v>0.26683134191176472</v>
      </c>
      <c r="AB27" s="504">
        <f t="shared" si="126"/>
        <v>0.26828344069723381</v>
      </c>
      <c r="AC27" s="171">
        <f t="shared" si="126"/>
        <v>0.28105645601551177</v>
      </c>
      <c r="AD27" s="171">
        <f t="shared" si="126"/>
        <v>0.25774836353115621</v>
      </c>
      <c r="AE27" s="171">
        <f t="shared" si="126"/>
        <v>0.23943519919314171</v>
      </c>
      <c r="AF27" s="426">
        <f t="shared" si="126"/>
        <v>0.24784232694905825</v>
      </c>
      <c r="AG27" s="504">
        <f t="shared" si="126"/>
        <v>0.25569255029719096</v>
      </c>
      <c r="AH27" s="426">
        <f t="shared" si="126"/>
        <v>0.22499152255001695</v>
      </c>
      <c r="AI27" s="426">
        <f t="shared" si="126"/>
        <v>0.23922644637800244</v>
      </c>
      <c r="AJ27" s="426">
        <f t="shared" ref="AJ27:BA27" si="127">+AJ26/AJ9</f>
        <v>0.1999218510145413</v>
      </c>
      <c r="AK27" s="426">
        <f t="shared" si="127"/>
        <v>0.24743935309973045</v>
      </c>
      <c r="AL27" s="480">
        <f t="shared" si="127"/>
        <v>0.22800110438203014</v>
      </c>
      <c r="AM27" s="426">
        <f t="shared" si="127"/>
        <v>0.21564047091302443</v>
      </c>
      <c r="AN27" s="426">
        <f t="shared" si="127"/>
        <v>0.20395545363554587</v>
      </c>
      <c r="AO27" s="426">
        <f t="shared" si="127"/>
        <v>0.18809497889223548</v>
      </c>
      <c r="AP27" s="426">
        <f t="shared" si="127"/>
        <v>0.21200274024378721</v>
      </c>
      <c r="AQ27" s="480">
        <f t="shared" si="127"/>
        <v>0.20473434968766227</v>
      </c>
      <c r="AR27" s="171">
        <f t="shared" si="127"/>
        <v>0.19324623535003418</v>
      </c>
      <c r="AS27" s="171">
        <f t="shared" si="127"/>
        <v>0.16064392660137342</v>
      </c>
      <c r="AT27" s="171">
        <f t="shared" si="127"/>
        <v>0.15937637666677412</v>
      </c>
      <c r="AU27" s="171">
        <f t="shared" ref="AU27" si="128">+AU26/AU9</f>
        <v>0.173078343055453</v>
      </c>
      <c r="AV27" s="480">
        <f t="shared" si="127"/>
        <v>0.17131498251887933</v>
      </c>
      <c r="AW27" s="171">
        <f t="shared" ref="AW27:AX27" si="129">+AW26/AW9</f>
        <v>0.16909545661250983</v>
      </c>
      <c r="AX27" s="171">
        <f t="shared" si="129"/>
        <v>0.16733866923431825</v>
      </c>
      <c r="AY27" s="171">
        <f t="shared" ref="AY27:AZ27" si="130">+AY26/AY9</f>
        <v>0.16131091924447749</v>
      </c>
      <c r="AZ27" s="171">
        <f t="shared" si="130"/>
        <v>0.18393149936236108</v>
      </c>
      <c r="BA27" s="480">
        <f t="shared" si="127"/>
        <v>0.17064391544171295</v>
      </c>
      <c r="BB27" s="171">
        <f t="shared" ref="BB27:BF27" si="131">+BB26/BB9</f>
        <v>0.15968083230470817</v>
      </c>
      <c r="BC27" s="171">
        <f t="shared" si="131"/>
        <v>0.17799204290492357</v>
      </c>
      <c r="BD27" s="171">
        <f t="shared" si="131"/>
        <v>0.17960991072068555</v>
      </c>
      <c r="BE27" s="171">
        <f t="shared" si="131"/>
        <v>0.19331443113818217</v>
      </c>
      <c r="BF27" s="480">
        <f t="shared" si="131"/>
        <v>0.17825995511748477</v>
      </c>
      <c r="BG27" s="171">
        <f t="shared" ref="BG27:BK27" si="132">+BG26/BG9</f>
        <v>0.17732987458200378</v>
      </c>
      <c r="BH27" s="171">
        <f t="shared" si="132"/>
        <v>0.17013461216100983</v>
      </c>
      <c r="BI27" s="171">
        <f t="shared" si="132"/>
        <v>0.17361052424011944</v>
      </c>
      <c r="BJ27" s="171">
        <f t="shared" si="132"/>
        <v>0.1956630006225358</v>
      </c>
      <c r="BK27" s="480">
        <f t="shared" si="132"/>
        <v>0.17937697715606954</v>
      </c>
      <c r="BL27" s="171">
        <f t="shared" ref="BL27:BP27" si="133">+BL26/BL9</f>
        <v>0.176050204039642</v>
      </c>
      <c r="BM27" s="171">
        <f t="shared" si="133"/>
        <v>0.19174489603787287</v>
      </c>
      <c r="BN27" s="171">
        <f t="shared" si="133"/>
        <v>0.18871492912710328</v>
      </c>
      <c r="BO27" s="171">
        <f t="shared" si="133"/>
        <v>0.19092159732648203</v>
      </c>
      <c r="BP27" s="480">
        <f t="shared" si="133"/>
        <v>0.1869954293407684</v>
      </c>
      <c r="BQ27" s="171">
        <f t="shared" ref="BQ27:BS27" si="134">+BQ26/BQ9</f>
        <v>0.18424130232209082</v>
      </c>
      <c r="BR27" s="171">
        <f t="shared" si="134"/>
        <v>0.19947946508027453</v>
      </c>
      <c r="BS27" s="171">
        <f t="shared" si="134"/>
        <v>0.18712989015905157</v>
      </c>
      <c r="BT27" s="171">
        <f t="shared" ref="BT27:BU27" si="135">+BT26/BT9</f>
        <v>0.20379160438607502</v>
      </c>
      <c r="BU27" s="480">
        <f t="shared" si="135"/>
        <v>0.19383224360171866</v>
      </c>
      <c r="BV27" s="171">
        <f t="shared" ref="BV27:BZ27" si="136">+BV26/BV9</f>
        <v>0.20795506195544</v>
      </c>
      <c r="BW27" s="171">
        <f t="shared" si="136"/>
        <v>0.21379745157318569</v>
      </c>
      <c r="BX27" s="171">
        <f t="shared" si="136"/>
        <v>0.21158195393081325</v>
      </c>
      <c r="BY27" s="171">
        <f t="shared" si="136"/>
        <v>0.22044341638046117</v>
      </c>
      <c r="BZ27" s="480">
        <f t="shared" si="136"/>
        <v>0.21355920928361094</v>
      </c>
      <c r="CA27" s="171">
        <f t="shared" ref="CA27:CE27" si="137">+CA26/CA9</f>
        <v>0.21183134431028935</v>
      </c>
      <c r="CB27" s="171">
        <f t="shared" si="137"/>
        <v>0.2135374738720727</v>
      </c>
      <c r="CC27" s="171">
        <f t="shared" si="137"/>
        <v>0.21122694336479139</v>
      </c>
      <c r="CD27" s="171">
        <f t="shared" si="137"/>
        <v>0.20978972713019242</v>
      </c>
      <c r="CE27" s="480">
        <f t="shared" si="137"/>
        <v>0.211572138827649</v>
      </c>
    </row>
    <row r="28" spans="2:83" ht="11.1" hidden="1" customHeight="1" outlineLevel="1">
      <c r="B28" s="275" t="s">
        <v>128</v>
      </c>
      <c r="C28" s="218"/>
      <c r="D28" s="171"/>
      <c r="E28" s="171"/>
      <c r="F28" s="171"/>
      <c r="G28" s="171"/>
      <c r="H28" s="171"/>
      <c r="I28" s="379">
        <f t="shared" ref="I28" si="138">+I26/D26-1</f>
        <v>9.2627390295125567E-2</v>
      </c>
      <c r="J28" s="379">
        <f t="shared" ref="J28" si="139">+J26/E26-1</f>
        <v>5.5508653440270228E-2</v>
      </c>
      <c r="K28" s="379">
        <f t="shared" ref="K28" si="140">+K26/F26-1</f>
        <v>0.18939393939393945</v>
      </c>
      <c r="L28" s="379">
        <f t="shared" ref="L28" si="141">+L26/G26-1</f>
        <v>0.17032910347673669</v>
      </c>
      <c r="M28" s="379">
        <f t="shared" ref="M28" si="142">+M26/H26-1</f>
        <v>0.12587279074841806</v>
      </c>
      <c r="N28" s="379">
        <f t="shared" ref="N28" si="143">+N26/I26-1</f>
        <v>0.20576631259484057</v>
      </c>
      <c r="O28" s="379">
        <f t="shared" ref="O28" si="144">+O26/J26-1</f>
        <v>0.11247750449910021</v>
      </c>
      <c r="P28" s="379">
        <f t="shared" ref="P28" si="145">+P26/K26-1</f>
        <v>0.11594347133757954</v>
      </c>
      <c r="Q28" s="379">
        <f t="shared" ref="Q28" si="146">+Q26/L26-1</f>
        <v>3.4379407616358382E-3</v>
      </c>
      <c r="R28" s="379">
        <f t="shared" ref="R28" si="147">+R26/M26-1</f>
        <v>0.10569538990770133</v>
      </c>
      <c r="S28" s="379">
        <f t="shared" ref="S28" si="148">+S26/N26-1</f>
        <v>-0.1079788572866851</v>
      </c>
      <c r="T28" s="379">
        <f t="shared" ref="T28" si="149">+T26/O26-1</f>
        <v>6.0124022647613851E-2</v>
      </c>
      <c r="U28" s="379">
        <f t="shared" ref="U28" si="150">+U26/P26-1</f>
        <v>4.8158387585837126E-3</v>
      </c>
      <c r="V28" s="379">
        <f t="shared" ref="V28" si="151">+V26/Q26-1</f>
        <v>5.48185891241324E-2</v>
      </c>
      <c r="W28" s="497">
        <f t="shared" ref="W28" si="152">+W26/R26-1</f>
        <v>1.3145786775339285E-3</v>
      </c>
      <c r="X28" s="379">
        <f t="shared" ref="X28" si="153">+X26/S26-1</f>
        <v>0.19300225733634302</v>
      </c>
      <c r="Y28" s="379">
        <f t="shared" ref="Y28" si="154">+Y26/T26-1</f>
        <v>0.10732451678535115</v>
      </c>
      <c r="Z28" s="379">
        <f t="shared" ref="Z28" si="155">+Z26/U26-1</f>
        <v>0.19100026626431177</v>
      </c>
      <c r="AA28" s="379">
        <f t="shared" ref="AA28" si="156">+AA26/V26-1</f>
        <v>0.1605729990838678</v>
      </c>
      <c r="AB28" s="497">
        <f t="shared" ref="AB28" si="157">+AB26/W26-1</f>
        <v>0.16187475384009442</v>
      </c>
      <c r="AC28" s="379">
        <f t="shared" ref="AC28" si="158">+AC26/X26-1</f>
        <v>0.17707347839798171</v>
      </c>
      <c r="AD28" s="379">
        <f t="shared" ref="AD28" si="159">+AD26/Y26-1</f>
        <v>9.1257081610779167E-2</v>
      </c>
      <c r="AE28" s="379">
        <f t="shared" ref="AE28" si="160">+AE26/Z26-1</f>
        <v>6.1479991057455941E-2</v>
      </c>
      <c r="AF28" s="379">
        <f t="shared" ref="AF28" si="161">+AF26/AA26-1</f>
        <v>0.11898098313598848</v>
      </c>
      <c r="AG28" s="497">
        <f t="shared" ref="AG28" si="162">+AG26/AB26-1</f>
        <v>0.11150659133709984</v>
      </c>
      <c r="AH28" s="379">
        <f t="shared" ref="AH28" si="163">+AH26/AC26-1</f>
        <v>-2.2304085733422685E-2</v>
      </c>
      <c r="AI28" s="379">
        <f t="shared" ref="AI28" si="164">+AI26/AD26-1</f>
        <v>0.14381927879893364</v>
      </c>
      <c r="AJ28" s="379">
        <f t="shared" ref="AJ28" si="165">+AJ26/AE26-1</f>
        <v>5.7568098848637117E-3</v>
      </c>
      <c r="AK28" s="379">
        <f t="shared" ref="AK28" si="166">+AK26/AF26-1</f>
        <v>0.17745142050920282</v>
      </c>
      <c r="AL28" s="473">
        <f t="shared" ref="AL28" si="167">+AL26/AG26-1</f>
        <v>7.7362294776435414E-2</v>
      </c>
      <c r="AM28" s="379">
        <f t="shared" ref="AM28" si="168">+AM26/AH26-1</f>
        <v>0.11303692539562915</v>
      </c>
      <c r="AN28" s="379">
        <f t="shared" ref="AN28" si="169">+AN26/AI26-1</f>
        <v>-1.2634936211972536E-2</v>
      </c>
      <c r="AO28" s="379">
        <f t="shared" ref="AO28" si="170">+AO26/AJ26-1</f>
        <v>8.5439061845595354E-2</v>
      </c>
      <c r="AP28" s="379">
        <f t="shared" ref="AP28" si="171">+AP26/AK26-1</f>
        <v>-2.2385620915032711E-2</v>
      </c>
      <c r="AQ28" s="473">
        <f t="shared" ref="AQ28" si="172">+AQ26/AL26-1</f>
        <v>3.5494676584836515E-2</v>
      </c>
      <c r="AR28" s="379">
        <f t="shared" ref="AR28" si="173">+AR26/AM26-1</f>
        <v>2.6035575798609045E-2</v>
      </c>
      <c r="AS28" s="379">
        <f t="shared" ref="AS28" si="174">+AS26/AN26-1</f>
        <v>-0.11355447881724434</v>
      </c>
      <c r="AT28" s="379">
        <f t="shared" ref="AT28:AU28" si="175">+AT26/AO26-1</f>
        <v>-4.610932475884244E-2</v>
      </c>
      <c r="AU28" s="379">
        <f t="shared" si="175"/>
        <v>-8.5854365145690559E-2</v>
      </c>
      <c r="AV28" s="473">
        <f t="shared" ref="AV28:AZ28" si="176">+AV26/AQ26-1</f>
        <v>-5.5631492618917422E-2</v>
      </c>
      <c r="AW28" s="379">
        <f t="shared" si="176"/>
        <v>-1.8536292741451743E-2</v>
      </c>
      <c r="AX28" s="379">
        <f t="shared" si="176"/>
        <v>0.16916608269096001</v>
      </c>
      <c r="AY28" s="379">
        <f t="shared" si="176"/>
        <v>0.14117171172385889</v>
      </c>
      <c r="AZ28" s="379">
        <f t="shared" si="176"/>
        <v>0.23061921014139442</v>
      </c>
      <c r="BA28" s="473">
        <f t="shared" ref="BA28" si="177">+BA26/AV26-1</f>
        <v>0.1283832682008974</v>
      </c>
      <c r="BB28" s="379">
        <f t="shared" ref="BB28" si="178">+BB26/AW26-1</f>
        <v>0.10696167715909777</v>
      </c>
      <c r="BC28" s="379">
        <f t="shared" ref="BC28" si="179">+BC26/AX26-1</f>
        <v>0.27906976744186052</v>
      </c>
      <c r="BD28" s="379">
        <f t="shared" ref="BD28" si="180">+BD26/AY26-1</f>
        <v>0.33230932829207771</v>
      </c>
      <c r="BE28" s="379">
        <f t="shared" ref="BE28" si="181">+BE26/AZ26-1</f>
        <v>0.25272385103011086</v>
      </c>
      <c r="BF28" s="473">
        <f t="shared" ref="BF28" si="182">+BF26/BA26-1</f>
        <v>0.2441993044866313</v>
      </c>
      <c r="BG28" s="379">
        <f t="shared" ref="BG28" si="183">+BG26/BB26-1</f>
        <v>0.27955386229363377</v>
      </c>
      <c r="BH28" s="379">
        <f t="shared" ref="BH28" si="184">+BH26/BC26-1</f>
        <v>9.3908153701968144E-2</v>
      </c>
      <c r="BI28" s="379">
        <f t="shared" ref="BI28" si="185">+BI26/BD26-1</f>
        <v>9.3118126995388462E-2</v>
      </c>
      <c r="BJ28" s="379">
        <f t="shared" ref="BJ28" si="186">+BJ26/BE26-1</f>
        <v>0.11828424589839881</v>
      </c>
      <c r="BK28" s="473">
        <f t="shared" ref="BK28" si="187">+BK26/BF26-1</f>
        <v>0.13928154138697346</v>
      </c>
      <c r="BL28" s="379">
        <f t="shared" ref="BL28" si="188">+BL26/BG26-1</f>
        <v>0.10766376111159048</v>
      </c>
      <c r="BM28" s="379">
        <f t="shared" ref="BM28" si="189">+BM26/BH26-1</f>
        <v>0.22147018505825899</v>
      </c>
      <c r="BN28" s="379">
        <f t="shared" ref="BN28" si="190">+BN26/BI26-1</f>
        <v>0.17787603439883171</v>
      </c>
      <c r="BO28" s="379">
        <f t="shared" ref="BO28" si="191">+BO26/BJ26-1</f>
        <v>7.4451161310849612E-2</v>
      </c>
      <c r="BP28" s="473">
        <f t="shared" ref="BP28:BS28" si="192">+BP26/BK26-1</f>
        <v>0.14233286747036411</v>
      </c>
      <c r="BQ28" s="379">
        <f t="shared" si="192"/>
        <v>0.14768787253106863</v>
      </c>
      <c r="BR28" s="379">
        <f t="shared" si="192"/>
        <v>0.14775198148278035</v>
      </c>
      <c r="BS28" s="379">
        <f t="shared" si="192"/>
        <v>9.4810069910803429E-2</v>
      </c>
      <c r="BT28" s="379">
        <f t="shared" ref="BT28" si="193">+BT26/BO26-1</f>
        <v>0.17530352383772585</v>
      </c>
      <c r="BU28" s="473">
        <f t="shared" ref="BU28" si="194">+BU26/BP26-1</f>
        <v>0.14157710825345693</v>
      </c>
      <c r="BV28" s="379">
        <f t="shared" ref="BV28" si="195">+BV26/BQ26-1</f>
        <v>0.22465071283095717</v>
      </c>
      <c r="BW28" s="379">
        <f t="shared" ref="BW28" si="196">+BW26/BR26-1</f>
        <v>0.15751888349069576</v>
      </c>
      <c r="BX28" s="379">
        <f t="shared" ref="BX28" si="197">+BX26/BS26-1</f>
        <v>0.21546910695187149</v>
      </c>
      <c r="BY28" s="379">
        <f t="shared" ref="BY28" si="198">+BY26/BT26-1</f>
        <v>0.15742970000000001</v>
      </c>
      <c r="BZ28" s="473">
        <f t="shared" ref="BZ28" si="199">+BZ26/BU26-1</f>
        <v>0.18694690530077573</v>
      </c>
      <c r="CA28" s="379">
        <f t="shared" ref="CA28" si="200">+CA26/BV26-1</f>
        <v>0.10013119999999986</v>
      </c>
      <c r="CB28" s="379">
        <f t="shared" ref="CB28" si="201">+CB26/BW26-1</f>
        <v>6.8698879999999907E-2</v>
      </c>
      <c r="CC28" s="379">
        <f t="shared" ref="CC28" si="202">+CC26/BX26-1</f>
        <v>5.8221440000000069E-2</v>
      </c>
      <c r="CD28" s="379">
        <f t="shared" ref="CD28" si="203">+CD26/BY26-1</f>
        <v>8.7718400000000862E-3</v>
      </c>
      <c r="CE28" s="473">
        <f t="shared" ref="CE28" si="204">+CE26/BZ26-1</f>
        <v>5.7341029284199152E-2</v>
      </c>
    </row>
    <row r="29" spans="2:83" ht="12.75" hidden="1" outlineLevel="1">
      <c r="B29" s="275" t="s">
        <v>226</v>
      </c>
      <c r="C29" s="218"/>
      <c r="D29" s="380"/>
      <c r="E29" s="380">
        <f>+E26/D26-1</f>
        <v>4.7419033933900678E-2</v>
      </c>
      <c r="F29" s="380">
        <f>+F26/E26-1</f>
        <v>-0.10848459265512878</v>
      </c>
      <c r="G29" s="380">
        <f>+G26/F26-1</f>
        <v>0.14737215909090873</v>
      </c>
      <c r="H29" s="171"/>
      <c r="I29" s="380">
        <f>+I26/G26-1</f>
        <v>1.9808108944599612E-2</v>
      </c>
      <c r="J29" s="380">
        <f>+J26/I26-1</f>
        <v>1.1836115326251839E-2</v>
      </c>
      <c r="K29" s="380">
        <f>+K26/J26-1</f>
        <v>4.5990801839632667E-3</v>
      </c>
      <c r="L29" s="380">
        <f>+L26/K26-1</f>
        <v>0.12898089171974569</v>
      </c>
      <c r="M29" s="380"/>
      <c r="N29" s="380">
        <f>+N26/L26-1</f>
        <v>5.068758815232699E-2</v>
      </c>
      <c r="O29" s="380">
        <f>+O26/N26-1</f>
        <v>-6.644852756103703E-2</v>
      </c>
      <c r="P29" s="380">
        <f>+P26/O26-1</f>
        <v>7.7289476049249295E-3</v>
      </c>
      <c r="Q29" s="380">
        <f>+Q26/P26-1</f>
        <v>1.5160973869615679E-2</v>
      </c>
      <c r="R29" s="380"/>
      <c r="S29" s="380">
        <f>+S26/Q26-1</f>
        <v>-6.5975577615742798E-2</v>
      </c>
      <c r="T29" s="380">
        <f>+T26/S26-1</f>
        <v>0.10948081264108356</v>
      </c>
      <c r="U29" s="380">
        <f>+U26/T26-1</f>
        <v>-4.4845710410308603E-2</v>
      </c>
      <c r="V29" s="380">
        <f>+V26/U26-1</f>
        <v>6.5678530220999454E-2</v>
      </c>
      <c r="W29" s="498"/>
      <c r="X29" s="380">
        <f>+X26/V26-1</f>
        <v>5.6383776130590535E-2</v>
      </c>
      <c r="Y29" s="380">
        <f>+Y26/X26-1</f>
        <v>2.9801324503311299E-2</v>
      </c>
      <c r="Z29" s="380">
        <f>+Z26/Y26-1</f>
        <v>2.733118971061077E-2</v>
      </c>
      <c r="AA29" s="380">
        <f>+AA26/Z26-1</f>
        <v>3.8452939861390645E-2</v>
      </c>
      <c r="AB29" s="498"/>
      <c r="AC29" s="380">
        <f>+AC26/AA26-1</f>
        <v>7.1402942231790556E-2</v>
      </c>
      <c r="AD29" s="380">
        <f>+AD26/AC26-1</f>
        <v>-4.5277963831212298E-2</v>
      </c>
      <c r="AE29" s="380">
        <f>+AE26/AD26-1</f>
        <v>-7.0155745755573484E-4</v>
      </c>
      <c r="AF29" s="395">
        <f>+AF26/AE26-1</f>
        <v>9.4706543105869123E-2</v>
      </c>
      <c r="AG29" s="498"/>
      <c r="AH29" s="380">
        <f>+AH26/AF26-1</f>
        <v>-6.387481562239461E-2</v>
      </c>
      <c r="AI29" s="395">
        <f>+AI26/AH26-1</f>
        <v>0.11694183736384178</v>
      </c>
      <c r="AJ29" s="395">
        <f>+AJ26/AI26-1</f>
        <v>-0.12131992149165849</v>
      </c>
      <c r="AK29" s="395">
        <f>+AK26/AJ26-1</f>
        <v>0.2815859276839312</v>
      </c>
      <c r="AL29" s="474"/>
      <c r="AM29" s="380">
        <f>+AM26/AK26-1</f>
        <v>-0.11508714596949887</v>
      </c>
      <c r="AN29" s="395">
        <f>+AN26/AM26-1</f>
        <v>-9.1709238628669976E-3</v>
      </c>
      <c r="AO29" s="395">
        <f>+AO26/AN26-1</f>
        <v>-3.4041495837992319E-2</v>
      </c>
      <c r="AP29" s="395">
        <f>+AP26/AO26-1</f>
        <v>0.15427652733118968</v>
      </c>
      <c r="AQ29" s="474"/>
      <c r="AR29" s="380">
        <f>+AR26/AP26-1</f>
        <v>-7.1257451668616634E-2</v>
      </c>
      <c r="AS29" s="395">
        <f>+AS26/AR26-1</f>
        <v>-0.14397120575884825</v>
      </c>
      <c r="AT29" s="395">
        <f>+AT26/AS26-1</f>
        <v>3.9453398738612533E-2</v>
      </c>
      <c r="AU29" s="395">
        <f>+AU26/AT26-1</f>
        <v>0.10618216139688541</v>
      </c>
      <c r="AV29" s="474"/>
      <c r="AW29" s="380">
        <f>+AW26/AU26-1</f>
        <v>-2.8644563627499009E-3</v>
      </c>
      <c r="AX29" s="395">
        <f>+AX26/AW26-1</f>
        <v>1.9742069555650721E-2</v>
      </c>
      <c r="AY29" s="395">
        <f>+AY26/AX26-1</f>
        <v>1.4564852553344609E-2</v>
      </c>
      <c r="AZ29" s="395">
        <f>+AZ26/AY26-1</f>
        <v>0.19288710344420168</v>
      </c>
      <c r="BA29" s="474"/>
      <c r="BB29" s="380">
        <f>+BB26/AZ26-1</f>
        <v>-0.10306061806656097</v>
      </c>
      <c r="BC29" s="395">
        <f>+BC26/BB26-1</f>
        <v>0.17828943735851133</v>
      </c>
      <c r="BD29" s="395">
        <f>+BD26/BC26-1</f>
        <v>5.6794751640112384E-2</v>
      </c>
      <c r="BE29" s="395">
        <f>+BE26/BD26-1</f>
        <v>0.12163001064207157</v>
      </c>
      <c r="BF29" s="474"/>
      <c r="BG29" s="380">
        <f>+BG26/BE26-1</f>
        <v>-8.3850563352441232E-2</v>
      </c>
      <c r="BH29" s="395">
        <f>+BH26/BG26-1</f>
        <v>7.3358073703289062E-3</v>
      </c>
      <c r="BI29" s="395">
        <f>+BI26/BH26-1</f>
        <v>5.6031528444139722E-2</v>
      </c>
      <c r="BJ29" s="395">
        <f>+BJ26/BI26-1</f>
        <v>0.14745253934772018</v>
      </c>
      <c r="BK29" s="474"/>
      <c r="BL29" s="380">
        <f>+BL26/BJ26-1</f>
        <v>-9.2551348676070289E-2</v>
      </c>
      <c r="BM29" s="380">
        <f>+BM26/BL26-1</f>
        <v>0.11083408001869954</v>
      </c>
      <c r="BN29" s="380">
        <f>+BN26/BM26-1</f>
        <v>1.8341867152977587E-2</v>
      </c>
      <c r="BO29" s="380">
        <f>+BO26/BN26-1</f>
        <v>4.6699039156937738E-2</v>
      </c>
      <c r="BP29" s="474"/>
      <c r="BQ29" s="380">
        <f>+BQ26/BO26-1</f>
        <v>-3.0697858059421601E-2</v>
      </c>
      <c r="BR29" s="380">
        <f>+BR26/BQ26-1</f>
        <v>0.11089613034623214</v>
      </c>
      <c r="BS29" s="380">
        <f>+BS26/BR26-1</f>
        <v>-2.8630794145506733E-2</v>
      </c>
      <c r="BT29" s="380">
        <f>+BT26/BS26-1</f>
        <v>0.12365523749606799</v>
      </c>
      <c r="BU29" s="474"/>
      <c r="BV29" s="382">
        <v>0.01</v>
      </c>
      <c r="BW29" s="382">
        <v>0.05</v>
      </c>
      <c r="BX29" s="382">
        <v>0.02</v>
      </c>
      <c r="BY29" s="382">
        <v>7.0000000000000007E-2</v>
      </c>
      <c r="BZ29" s="474"/>
      <c r="CA29" s="382">
        <v>-0.04</v>
      </c>
      <c r="CB29" s="382">
        <v>0.02</v>
      </c>
      <c r="CC29" s="382">
        <v>0.01</v>
      </c>
      <c r="CD29" s="382">
        <v>0.02</v>
      </c>
      <c r="CE29" s="474"/>
    </row>
    <row r="30" spans="2:83" ht="12.6" customHeight="1" collapsed="1">
      <c r="B30" s="430"/>
      <c r="C30" s="429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431"/>
      <c r="S30" s="185"/>
      <c r="T30" s="185"/>
      <c r="U30" s="185"/>
      <c r="V30" s="185"/>
      <c r="W30" s="507"/>
      <c r="X30" s="185"/>
      <c r="Y30" s="185"/>
      <c r="Z30" s="185"/>
      <c r="AA30" s="185"/>
      <c r="AB30" s="507"/>
      <c r="AC30" s="185"/>
      <c r="AD30" s="185"/>
      <c r="AE30" s="185"/>
      <c r="AF30" s="431"/>
      <c r="AG30" s="507"/>
      <c r="AH30" s="431"/>
      <c r="AI30" s="431"/>
      <c r="AJ30" s="431"/>
      <c r="AK30" s="431"/>
      <c r="AL30" s="483"/>
      <c r="AM30" s="431"/>
      <c r="AN30" s="431"/>
      <c r="AO30" s="431"/>
      <c r="AP30" s="431"/>
      <c r="AQ30" s="483"/>
      <c r="AR30" s="185"/>
      <c r="AS30" s="185"/>
      <c r="AT30" s="185"/>
      <c r="AU30" s="185"/>
      <c r="AV30" s="483"/>
      <c r="AW30" s="185"/>
      <c r="AX30" s="185"/>
      <c r="AY30" s="185"/>
      <c r="AZ30" s="185"/>
      <c r="BA30" s="483"/>
      <c r="BB30" s="185"/>
      <c r="BC30" s="185"/>
      <c r="BD30" s="185"/>
      <c r="BE30" s="185"/>
      <c r="BF30" s="483"/>
      <c r="BG30" s="185"/>
      <c r="BH30" s="185"/>
      <c r="BI30" s="185"/>
      <c r="BJ30" s="185"/>
      <c r="BK30" s="483"/>
      <c r="BL30" s="185"/>
      <c r="BM30" s="185"/>
      <c r="BN30" s="185"/>
      <c r="BO30" s="185"/>
      <c r="BP30" s="483"/>
      <c r="BQ30" s="185"/>
      <c r="BR30" s="185"/>
      <c r="BS30" s="185"/>
      <c r="BT30" s="185"/>
      <c r="BU30" s="483"/>
      <c r="BV30" s="185"/>
      <c r="BW30" s="185"/>
      <c r="BX30" s="185"/>
      <c r="BY30" s="185"/>
      <c r="BZ30" s="483"/>
      <c r="CA30" s="185"/>
      <c r="CB30" s="185"/>
      <c r="CC30" s="185"/>
      <c r="CD30" s="185"/>
      <c r="CE30" s="483"/>
    </row>
    <row r="31" spans="2:83" ht="12.6" customHeight="1">
      <c r="B31" s="420" t="s">
        <v>120</v>
      </c>
      <c r="C31" s="407"/>
      <c r="D31" s="216">
        <v>2539</v>
      </c>
      <c r="E31" s="216">
        <v>2513</v>
      </c>
      <c r="F31" s="216">
        <v>2711</v>
      </c>
      <c r="G31" s="216">
        <v>2885.0000000000005</v>
      </c>
      <c r="H31" s="216">
        <f>D31+E31+F31+G31</f>
        <v>10648</v>
      </c>
      <c r="I31" s="216">
        <v>3530.9999999999995</v>
      </c>
      <c r="J31" s="216">
        <v>3320</v>
      </c>
      <c r="K31" s="216">
        <v>3375</v>
      </c>
      <c r="L31" s="216">
        <v>3783</v>
      </c>
      <c r="M31" s="216">
        <f>I31+J31+K31+L31</f>
        <v>14009</v>
      </c>
      <c r="N31" s="216">
        <v>3906</v>
      </c>
      <c r="O31" s="216">
        <v>3994.0000000000005</v>
      </c>
      <c r="P31" s="216">
        <v>3997</v>
      </c>
      <c r="Q31" s="216">
        <v>4188</v>
      </c>
      <c r="R31" s="427">
        <f>N31+O31+P31+Q31</f>
        <v>16085</v>
      </c>
      <c r="S31" s="216">
        <v>4432</v>
      </c>
      <c r="T31" s="216">
        <v>4507</v>
      </c>
      <c r="U31" s="216">
        <v>5204</v>
      </c>
      <c r="V31" s="216">
        <v>4989.0000000000009</v>
      </c>
      <c r="W31" s="505">
        <f>S31+T31+U31+V31</f>
        <v>19132</v>
      </c>
      <c r="X31" s="216">
        <v>5694</v>
      </c>
      <c r="Y31" s="216">
        <v>6335</v>
      </c>
      <c r="Z31" s="216">
        <v>5886</v>
      </c>
      <c r="AA31" s="216">
        <v>5734</v>
      </c>
      <c r="AB31" s="505">
        <f>X31+Y31+Z31+AA31</f>
        <v>23649</v>
      </c>
      <c r="AC31" s="216">
        <v>5808</v>
      </c>
      <c r="AD31" s="216">
        <f>8232-3277</f>
        <v>4955</v>
      </c>
      <c r="AE31" s="216">
        <f>9546-4477</f>
        <v>5069</v>
      </c>
      <c r="AF31" s="427">
        <f>10222-4823</f>
        <v>5399</v>
      </c>
      <c r="AG31" s="505">
        <f>AC31+AD31+AE31+AF31</f>
        <v>21231</v>
      </c>
      <c r="AH31" s="427">
        <f>11785-4995</f>
        <v>6790</v>
      </c>
      <c r="AI31" s="427">
        <f>8906-3333</f>
        <v>5573</v>
      </c>
      <c r="AJ31" s="427">
        <f>9040-3033</f>
        <v>6007</v>
      </c>
      <c r="AK31" s="427">
        <v>5689</v>
      </c>
      <c r="AL31" s="481">
        <f>AH31+AI31+AJ31+AK31</f>
        <v>24059</v>
      </c>
      <c r="AM31" s="427">
        <v>5939</v>
      </c>
      <c r="AN31" s="427">
        <v>6408</v>
      </c>
      <c r="AO31" s="427">
        <f>9106-3516</f>
        <v>5590</v>
      </c>
      <c r="AP31" s="427">
        <f>10804-4470</f>
        <v>6334</v>
      </c>
      <c r="AQ31" s="481">
        <f>AM31+AN31+AO31+AP31</f>
        <v>24271</v>
      </c>
      <c r="AR31" s="216">
        <v>6738</v>
      </c>
      <c r="AS31" s="216">
        <v>6495</v>
      </c>
      <c r="AT31" s="216">
        <f>12223-5295</f>
        <v>6928</v>
      </c>
      <c r="AU31" s="216">
        <f>12633-4204</f>
        <v>8429</v>
      </c>
      <c r="AV31" s="481">
        <f>AR31+AS31+AT31+AU31</f>
        <v>28590</v>
      </c>
      <c r="AW31" s="216">
        <f>42043-33484</f>
        <v>8559</v>
      </c>
      <c r="AX31" s="216">
        <f>11213-4044</f>
        <v>7169</v>
      </c>
      <c r="AY31" s="216">
        <f>10573-4112</f>
        <v>6461</v>
      </c>
      <c r="AZ31" s="216">
        <f>12445-5084</f>
        <v>7361</v>
      </c>
      <c r="BA31" s="481">
        <f>AW31+AX31+AY31+AZ31</f>
        <v>29550</v>
      </c>
      <c r="BB31" s="216">
        <f>12634-5347</f>
        <v>7287</v>
      </c>
      <c r="BC31" s="216">
        <f>13333-5701</f>
        <v>7632</v>
      </c>
      <c r="BD31" s="216">
        <f>15698-6176</f>
        <v>9522</v>
      </c>
      <c r="BE31" s="216">
        <f>16316-6456</f>
        <v>9860</v>
      </c>
      <c r="BF31" s="481">
        <f>BB31+BC31+BD31+BE31</f>
        <v>34301</v>
      </c>
      <c r="BG31" s="216">
        <f>15128-7027</f>
        <v>8101</v>
      </c>
      <c r="BH31" s="216">
        <f>14055-6288</f>
        <v>7767</v>
      </c>
      <c r="BI31" s="216">
        <f>15999-7676</f>
        <v>8323</v>
      </c>
      <c r="BJ31" s="216">
        <f>16559-7463</f>
        <v>9096</v>
      </c>
      <c r="BK31" s="481">
        <f>BG31+BH31+BI31+BJ31</f>
        <v>33287</v>
      </c>
      <c r="BL31" s="216">
        <f>16908-7969</f>
        <v>8939</v>
      </c>
      <c r="BM31" s="216">
        <f>14960-6428</f>
        <v>8532</v>
      </c>
      <c r="BN31" s="216">
        <f>18494-9159</f>
        <v>9335</v>
      </c>
      <c r="BO31" s="216">
        <f>18376-9570</f>
        <v>8806</v>
      </c>
      <c r="BP31" s="481">
        <f>BL31+BM31+BN31+BO31</f>
        <v>35612</v>
      </c>
      <c r="BQ31" s="216">
        <f>17404-8426</f>
        <v>8978</v>
      </c>
      <c r="BR31" s="216">
        <f>17719-8020</f>
        <v>9699</v>
      </c>
      <c r="BS31" s="216">
        <f>17922-8578</f>
        <v>9344</v>
      </c>
      <c r="BT31" s="216">
        <f>18571-9545</f>
        <v>9026</v>
      </c>
      <c r="BU31" s="481">
        <f>BQ31+BR31+BS31+BT31</f>
        <v>37047</v>
      </c>
      <c r="BV31" s="216">
        <f>BT31*(1+BV34)</f>
        <v>9477.3000000000011</v>
      </c>
      <c r="BW31" s="216">
        <f>+BV31*(1+BW34)</f>
        <v>9856.3920000000016</v>
      </c>
      <c r="BX31" s="216">
        <f>+BW31*(1+BX34)</f>
        <v>10349.211600000002</v>
      </c>
      <c r="BY31" s="216">
        <f t="shared" ref="BY31" si="205">+BX31*(1+BY34)</f>
        <v>10763.180064000002</v>
      </c>
      <c r="BZ31" s="481">
        <f>BV31+BW31+BX31+BY31</f>
        <v>40446.083664000005</v>
      </c>
      <c r="CA31" s="216">
        <f>BY31*(1+CA34)</f>
        <v>10440.284662080001</v>
      </c>
      <c r="CB31" s="216">
        <f>+CA31*(1+CB34)</f>
        <v>10179.277545528001</v>
      </c>
      <c r="CC31" s="216">
        <f>+CB31*(1+CC34)</f>
        <v>10281.070320983281</v>
      </c>
      <c r="CD31" s="216">
        <f t="shared" ref="CD31" si="206">+CC31*(1+CD34)</f>
        <v>10383.881024193113</v>
      </c>
      <c r="CE31" s="481">
        <f>CA31+CB31+CC31+CD31</f>
        <v>41284.513552784396</v>
      </c>
    </row>
    <row r="32" spans="2:83" ht="12.75">
      <c r="B32" s="420" t="s">
        <v>7</v>
      </c>
      <c r="C32" s="429"/>
      <c r="D32" s="187">
        <f t="shared" ref="D32:AI32" si="207">+D31/D9</f>
        <v>0.11981501580859799</v>
      </c>
      <c r="E32" s="187">
        <f t="shared" si="207"/>
        <v>0.11324921135646687</v>
      </c>
      <c r="F32" s="187">
        <f t="shared" si="207"/>
        <v>0.11594388846120948</v>
      </c>
      <c r="G32" s="187">
        <f t="shared" si="207"/>
        <v>0.11700531289289047</v>
      </c>
      <c r="H32" s="187">
        <f t="shared" si="207"/>
        <v>0.11647341938306716</v>
      </c>
      <c r="I32" s="187">
        <f t="shared" si="207"/>
        <v>0.14190411124060601</v>
      </c>
      <c r="J32" s="187">
        <f t="shared" si="207"/>
        <v>0.12627895477539844</v>
      </c>
      <c r="K32" s="187">
        <f t="shared" si="207"/>
        <v>0.12162600454070417</v>
      </c>
      <c r="L32" s="187">
        <f t="shared" si="207"/>
        <v>0.13027308102896101</v>
      </c>
      <c r="M32" s="187">
        <f t="shared" si="207"/>
        <v>0.12975861877327205</v>
      </c>
      <c r="N32" s="187">
        <f t="shared" si="207"/>
        <v>0.12867307945710899</v>
      </c>
      <c r="O32" s="187">
        <f t="shared" si="207"/>
        <v>0.12364559470001858</v>
      </c>
      <c r="P32" s="187">
        <f t="shared" si="207"/>
        <v>0.11636776522650519</v>
      </c>
      <c r="Q32" s="187">
        <f t="shared" si="207"/>
        <v>0.11451070461816094</v>
      </c>
      <c r="R32" s="432">
        <f t="shared" si="207"/>
        <v>0.12041563419399756</v>
      </c>
      <c r="S32" s="187">
        <f t="shared" si="207"/>
        <v>0.11820873229669539</v>
      </c>
      <c r="T32" s="187">
        <f t="shared" si="207"/>
        <v>0.11302254432379567</v>
      </c>
      <c r="U32" s="187">
        <f t="shared" si="207"/>
        <v>0.12253643834326214</v>
      </c>
      <c r="V32" s="187">
        <f t="shared" si="207"/>
        <v>0.11225109686128926</v>
      </c>
      <c r="W32" s="508">
        <f t="shared" si="207"/>
        <v>0.1164568673760074</v>
      </c>
      <c r="X32" s="187">
        <f t="shared" si="207"/>
        <v>0.12311883757135443</v>
      </c>
      <c r="Y32" s="187">
        <f t="shared" si="207"/>
        <v>0.13071018858581274</v>
      </c>
      <c r="Z32" s="187">
        <f t="shared" si="207"/>
        <v>0.11544119089179594</v>
      </c>
      <c r="AA32" s="187">
        <f t="shared" si="207"/>
        <v>0.10979626225490197</v>
      </c>
      <c r="AB32" s="508">
        <f t="shared" si="207"/>
        <v>0.11948465327775673</v>
      </c>
      <c r="AC32" s="187">
        <f t="shared" si="207"/>
        <v>0.10933529112780256</v>
      </c>
      <c r="AD32" s="187">
        <f t="shared" si="207"/>
        <v>8.9598929514303274E-2</v>
      </c>
      <c r="AE32" s="187">
        <f t="shared" si="207"/>
        <v>8.5207597915616065E-2</v>
      </c>
      <c r="AF32" s="432">
        <f t="shared" si="207"/>
        <v>8.5814193753476917E-2</v>
      </c>
      <c r="AG32" s="508">
        <f t="shared" si="207"/>
        <v>9.197757637721593E-2</v>
      </c>
      <c r="AH32" s="432">
        <f t="shared" si="207"/>
        <v>0.10465797342704769</v>
      </c>
      <c r="AI32" s="432">
        <f t="shared" si="207"/>
        <v>8.1771895587868473E-2</v>
      </c>
      <c r="AJ32" s="432">
        <f t="shared" ref="AJ32:BA32" si="208">+AJ31/AJ9</f>
        <v>8.382874208043764E-2</v>
      </c>
      <c r="AK32" s="432">
        <f t="shared" si="208"/>
        <v>7.6671159029649591E-2</v>
      </c>
      <c r="AL32" s="484">
        <f t="shared" si="208"/>
        <v>8.6267296307850072E-2</v>
      </c>
      <c r="AM32" s="432">
        <f t="shared" si="208"/>
        <v>7.8826168323533702E-2</v>
      </c>
      <c r="AN32" s="432">
        <f t="shared" si="208"/>
        <v>8.1186889482953037E-2</v>
      </c>
      <c r="AO32" s="432">
        <f t="shared" si="208"/>
        <v>6.7617423280231279E-2</v>
      </c>
      <c r="AP32" s="432">
        <f t="shared" si="208"/>
        <v>7.4813379948974773E-2</v>
      </c>
      <c r="AQ32" s="484">
        <f t="shared" si="208"/>
        <v>7.5467884716439629E-2</v>
      </c>
      <c r="AR32" s="187">
        <f t="shared" si="208"/>
        <v>7.8109966034104999E-2</v>
      </c>
      <c r="AS32" s="187">
        <f t="shared" si="208"/>
        <v>7.3117190138466737E-2</v>
      </c>
      <c r="AT32" s="187">
        <f t="shared" si="208"/>
        <v>7.4439394427790129E-2</v>
      </c>
      <c r="AU32" s="187">
        <f t="shared" ref="AU32" si="209">+AU31/AU9</f>
        <v>8.8912564213457668E-2</v>
      </c>
      <c r="AV32" s="484">
        <f t="shared" si="208"/>
        <v>7.8768359309351096E-2</v>
      </c>
      <c r="AW32" s="187">
        <f t="shared" ref="AW32:AX32" si="210">+AW31/AW9</f>
        <v>8.8459630410517173E-2</v>
      </c>
      <c r="AX32" s="187">
        <f t="shared" si="210"/>
        <v>7.1904274738721394E-2</v>
      </c>
      <c r="AY32" s="187">
        <f t="shared" ref="AY32:AZ32" si="211">+AY31/AY9</f>
        <v>6.1572035755808413E-2</v>
      </c>
      <c r="AZ32" s="187">
        <f t="shared" si="211"/>
        <v>6.705228639096375E-2</v>
      </c>
      <c r="BA32" s="484">
        <f t="shared" si="208"/>
        <v>7.1867734184234339E-2</v>
      </c>
      <c r="BB32" s="187">
        <f t="shared" ref="BB32:BF32" si="212">+BB31/BB9</f>
        <v>6.4247928055016751E-2</v>
      </c>
      <c r="BC32" s="187">
        <f t="shared" si="212"/>
        <v>6.3656760611545293E-2</v>
      </c>
      <c r="BD32" s="187">
        <f t="shared" si="212"/>
        <v>7.5835649604574673E-2</v>
      </c>
      <c r="BE32" s="187">
        <f t="shared" si="212"/>
        <v>7.5354034039236059E-2</v>
      </c>
      <c r="BF32" s="484">
        <f t="shared" si="212"/>
        <v>7.0041635781860359E-2</v>
      </c>
      <c r="BG32" s="187">
        <f t="shared" ref="BG32:BK32" si="213">+BG31/BG9</f>
        <v>6.1989700267058453E-2</v>
      </c>
      <c r="BH32" s="187">
        <f t="shared" si="213"/>
        <v>5.6607073879993294E-2</v>
      </c>
      <c r="BI32" s="187">
        <f t="shared" si="213"/>
        <v>5.8614327164145469E-2</v>
      </c>
      <c r="BJ32" s="187">
        <f t="shared" si="213"/>
        <v>6.2917617763021377E-2</v>
      </c>
      <c r="BK32" s="484">
        <f t="shared" si="213"/>
        <v>6.0035205552088709E-2</v>
      </c>
      <c r="BL32" s="187">
        <f t="shared" ref="BL32:BP32" si="214">+BL31/BL9</f>
        <v>6.1307911251328832E-2</v>
      </c>
      <c r="BM32" s="187">
        <f t="shared" si="214"/>
        <v>5.7374182962584397E-2</v>
      </c>
      <c r="BN32" s="187">
        <f t="shared" si="214"/>
        <v>6.0669279312653132E-2</v>
      </c>
      <c r="BO32" s="187">
        <f t="shared" si="214"/>
        <v>5.5317197580265216E-2</v>
      </c>
      <c r="BP32" s="484">
        <f t="shared" si="214"/>
        <v>5.861372580323946E-2</v>
      </c>
      <c r="BQ32" s="187">
        <f t="shared" ref="BQ32:BS32" si="215">+BQ31/BQ9</f>
        <v>5.6147943389264474E-2</v>
      </c>
      <c r="BR32" s="187">
        <f t="shared" si="215"/>
        <v>5.9117894454535483E-2</v>
      </c>
      <c r="BS32" s="187">
        <f t="shared" si="215"/>
        <v>5.5002884355022895E-2</v>
      </c>
      <c r="BT32" s="187">
        <f t="shared" ref="BT32:BU32" si="216">+BT31/BT9</f>
        <v>5.1494163690510152E-2</v>
      </c>
      <c r="BU32" s="484">
        <f t="shared" si="216"/>
        <v>5.5366336633663367E-2</v>
      </c>
      <c r="BV32" s="187">
        <f t="shared" ref="BV32:BZ32" si="217">+BV31/BV9</f>
        <v>5.4627225371499631E-2</v>
      </c>
      <c r="BW32" s="187">
        <f t="shared" si="217"/>
        <v>5.5627073233831655E-2</v>
      </c>
      <c r="BX32" s="187">
        <f t="shared" si="217"/>
        <v>5.6669768317981609E-2</v>
      </c>
      <c r="BY32" s="187">
        <f t="shared" si="217"/>
        <v>5.7387791038355604E-2</v>
      </c>
      <c r="BZ32" s="484">
        <f t="shared" si="217"/>
        <v>5.6108700253581084E-2</v>
      </c>
      <c r="CA32" s="187">
        <f t="shared" ref="CA32:CE32" si="218">+CA31/CA9</f>
        <v>5.5720255454266253E-2</v>
      </c>
      <c r="CB32" s="187">
        <f t="shared" si="218"/>
        <v>5.3690991145699758E-2</v>
      </c>
      <c r="CC32" s="187">
        <f t="shared" si="218"/>
        <v>5.3110040782473909E-2</v>
      </c>
      <c r="CD32" s="187">
        <f t="shared" si="218"/>
        <v>5.2231529143729014E-2</v>
      </c>
      <c r="CE32" s="484">
        <f t="shared" si="218"/>
        <v>5.3661893330335796E-2</v>
      </c>
    </row>
    <row r="33" spans="2:83" ht="12.75" hidden="1" outlineLevel="1">
      <c r="B33" s="275" t="s">
        <v>128</v>
      </c>
      <c r="C33" s="218"/>
      <c r="D33" s="171"/>
      <c r="E33" s="171"/>
      <c r="F33" s="171"/>
      <c r="G33" s="171"/>
      <c r="H33" s="171"/>
      <c r="I33" s="379">
        <f t="shared" ref="I33" si="219">+I31/D31-1</f>
        <v>0.39070500196927904</v>
      </c>
      <c r="J33" s="379">
        <f t="shared" ref="J33" si="220">+J31/E31-1</f>
        <v>0.32113012335853552</v>
      </c>
      <c r="K33" s="379">
        <f t="shared" ref="K33" si="221">+K31/F31-1</f>
        <v>0.24492807082257473</v>
      </c>
      <c r="L33" s="379">
        <f t="shared" ref="L33" si="222">+L31/G31-1</f>
        <v>0.31126516464471377</v>
      </c>
      <c r="M33" s="379">
        <f t="shared" ref="M33" si="223">+M31/H31-1</f>
        <v>0.31564613072877545</v>
      </c>
      <c r="N33" s="379">
        <f t="shared" ref="N33" si="224">+N31/I31-1</f>
        <v>0.10620220900594757</v>
      </c>
      <c r="O33" s="379">
        <f t="shared" ref="O33" si="225">+O31/J31-1</f>
        <v>0.2030120481927713</v>
      </c>
      <c r="P33" s="379">
        <f t="shared" ref="P33" si="226">+P31/K31-1</f>
        <v>0.1842962962962964</v>
      </c>
      <c r="Q33" s="379">
        <f t="shared" ref="Q33" si="227">+Q31/L31-1</f>
        <v>0.10705789056304527</v>
      </c>
      <c r="R33" s="379">
        <f t="shared" ref="R33" si="228">+R31/M31-1</f>
        <v>0.14819044899707334</v>
      </c>
      <c r="S33" s="379">
        <f t="shared" ref="S33" si="229">+S31/N31-1</f>
        <v>0.1346646185355862</v>
      </c>
      <c r="T33" s="379">
        <f t="shared" ref="T33" si="230">+T31/O31-1</f>
        <v>0.12844266399599391</v>
      </c>
      <c r="U33" s="379">
        <f t="shared" ref="U33" si="231">+U31/P31-1</f>
        <v>0.30197648236177144</v>
      </c>
      <c r="V33" s="379">
        <f t="shared" ref="V33" si="232">+V31/Q31-1</f>
        <v>0.19126074498567358</v>
      </c>
      <c r="W33" s="497">
        <f t="shared" ref="W33" si="233">+W31/R31-1</f>
        <v>0.18943114703139563</v>
      </c>
      <c r="X33" s="379">
        <f t="shared" ref="X33" si="234">+X31/S31-1</f>
        <v>0.28474729241877261</v>
      </c>
      <c r="Y33" s="379">
        <f t="shared" ref="Y33" si="235">+Y31/T31-1</f>
        <v>0.40559130241846009</v>
      </c>
      <c r="Z33" s="379">
        <f t="shared" ref="Z33" si="236">+Z31/U31-1</f>
        <v>0.1310530361260569</v>
      </c>
      <c r="AA33" s="379">
        <f t="shared" ref="AA33" si="237">+AA31/V31-1</f>
        <v>0.14932852275004982</v>
      </c>
      <c r="AB33" s="497">
        <f t="shared" ref="AB33" si="238">+AB31/W31-1</f>
        <v>0.23609659209701017</v>
      </c>
      <c r="AC33" s="379">
        <f t="shared" ref="AC33" si="239">+AC31/X31-1</f>
        <v>2.0021074815595341E-2</v>
      </c>
      <c r="AD33" s="379">
        <f t="shared" ref="AD33" si="240">+AD31/Y31-1</f>
        <v>-0.21783741120757694</v>
      </c>
      <c r="AE33" s="379">
        <f t="shared" ref="AE33" si="241">+AE31/Z31-1</f>
        <v>-0.1388039415562351</v>
      </c>
      <c r="AF33" s="379">
        <f t="shared" ref="AF33" si="242">+AF31/AA31-1</f>
        <v>-5.8423439134984267E-2</v>
      </c>
      <c r="AG33" s="497">
        <f t="shared" ref="AG33" si="243">+AG31/AB31-1</f>
        <v>-0.10224533806926295</v>
      </c>
      <c r="AH33" s="379">
        <f t="shared" ref="AH33" si="244">+AH31/AC31-1</f>
        <v>0.1690771349862259</v>
      </c>
      <c r="AI33" s="379">
        <f t="shared" ref="AI33" si="245">+AI31/AD31-1</f>
        <v>0.12472250252270434</v>
      </c>
      <c r="AJ33" s="379">
        <f t="shared" ref="AJ33" si="246">+AJ31/AE31-1</f>
        <v>0.18504636022884191</v>
      </c>
      <c r="AK33" s="379">
        <f t="shared" ref="AK33" si="247">+AK31/AF31-1</f>
        <v>5.3713650676051161E-2</v>
      </c>
      <c r="AL33" s="473">
        <f t="shared" ref="AL33" si="248">+AL31/AG31-1</f>
        <v>0.13320145070886902</v>
      </c>
      <c r="AM33" s="379">
        <f t="shared" ref="AM33" si="249">+AM31/AH31-1</f>
        <v>-0.12533136966126657</v>
      </c>
      <c r="AN33" s="379">
        <f t="shared" ref="AN33" si="250">+AN31/AI31-1</f>
        <v>0.14982953525928577</v>
      </c>
      <c r="AO33" s="379">
        <f t="shared" ref="AO33" si="251">+AO31/AJ31-1</f>
        <v>-6.941901115365412E-2</v>
      </c>
      <c r="AP33" s="379">
        <f t="shared" ref="AP33" si="252">+AP31/AK31-1</f>
        <v>0.11337669186148713</v>
      </c>
      <c r="AQ33" s="473">
        <f t="shared" ref="AQ33" si="253">+AQ31/AL31-1</f>
        <v>8.8116713080343967E-3</v>
      </c>
      <c r="AR33" s="379">
        <f t="shared" ref="AR33" si="254">+AR31/AM31-1</f>
        <v>0.13453443340629745</v>
      </c>
      <c r="AS33" s="379">
        <f t="shared" ref="AS33" si="255">+AS31/AN31-1</f>
        <v>1.3576779026217123E-2</v>
      </c>
      <c r="AT33" s="379">
        <f t="shared" ref="AT33:AU33" si="256">+AT31/AO31-1</f>
        <v>0.23935599284436493</v>
      </c>
      <c r="AU33" s="379">
        <f t="shared" si="256"/>
        <v>0.33075465740448373</v>
      </c>
      <c r="AV33" s="473">
        <f t="shared" ref="AV33:AZ33" si="257">+AV31/AQ31-1</f>
        <v>0.17794899262494335</v>
      </c>
      <c r="AW33" s="379">
        <f t="shared" si="257"/>
        <v>0.27025823686553863</v>
      </c>
      <c r="AX33" s="379">
        <f t="shared" si="257"/>
        <v>0.10377213240954575</v>
      </c>
      <c r="AY33" s="379">
        <f t="shared" si="257"/>
        <v>-6.7407621247113192E-2</v>
      </c>
      <c r="AZ33" s="379">
        <f t="shared" si="257"/>
        <v>-0.12670542175821564</v>
      </c>
      <c r="BA33" s="473">
        <f t="shared" ref="BA33" si="258">+BA31/AV31-1</f>
        <v>3.3578174186778664E-2</v>
      </c>
      <c r="BB33" s="379">
        <f t="shared" ref="BB33" si="259">+BB31/AW31-1</f>
        <v>-0.14861549246407291</v>
      </c>
      <c r="BC33" s="379">
        <f t="shared" ref="BC33" si="260">+BC31/AX31-1</f>
        <v>6.4583623936392831E-2</v>
      </c>
      <c r="BD33" s="379">
        <f t="shared" ref="BD33" si="261">+BD31/AY31-1</f>
        <v>0.47376567094876965</v>
      </c>
      <c r="BE33" s="379">
        <f t="shared" ref="BE33" si="262">+BE31/AZ31-1</f>
        <v>0.33949191685912239</v>
      </c>
      <c r="BF33" s="473">
        <f t="shared" ref="BF33" si="263">+BF31/BA31-1</f>
        <v>0.1607783417935702</v>
      </c>
      <c r="BG33" s="379">
        <f t="shared" ref="BG33" si="264">+BG31/BB31-1</f>
        <v>0.1117057774118293</v>
      </c>
      <c r="BH33" s="379">
        <f t="shared" ref="BH33" si="265">+BH31/BC31-1</f>
        <v>1.7688679245283057E-2</v>
      </c>
      <c r="BI33" s="379">
        <f t="shared" ref="BI33" si="266">+BI31/BD31-1</f>
        <v>-0.12591892459567322</v>
      </c>
      <c r="BJ33" s="379">
        <f t="shared" ref="BJ33" si="267">+BJ31/BE31-1</f>
        <v>-7.7484787018255563E-2</v>
      </c>
      <c r="BK33" s="473">
        <f>+BK31/BF31-1</f>
        <v>-2.9561820355091695E-2</v>
      </c>
      <c r="BL33" s="379">
        <f t="shared" ref="BL33" si="268">+BL31/BG31-1</f>
        <v>0.10344401925688196</v>
      </c>
      <c r="BM33" s="379">
        <f t="shared" ref="BM33" si="269">+BM31/BH31-1</f>
        <v>9.8493626882966367E-2</v>
      </c>
      <c r="BN33" s="379">
        <f t="shared" ref="BN33" si="270">+BN31/BI31-1</f>
        <v>0.1215907725579719</v>
      </c>
      <c r="BO33" s="379">
        <f t="shared" ref="BO33" si="271">+BO31/BJ31-1</f>
        <v>-3.1882145998241018E-2</v>
      </c>
      <c r="BP33" s="473">
        <f t="shared" ref="BP33:BS33" si="272">+BP31/BK31-1</f>
        <v>6.9847087451557766E-2</v>
      </c>
      <c r="BQ33" s="379">
        <f t="shared" si="272"/>
        <v>4.3629041279784619E-3</v>
      </c>
      <c r="BR33" s="379">
        <f t="shared" si="272"/>
        <v>0.13677918424753877</v>
      </c>
      <c r="BS33" s="379">
        <f t="shared" si="272"/>
        <v>9.641135511515575E-4</v>
      </c>
      <c r="BT33" s="379">
        <f t="shared" ref="BT33" si="273">+BT31/BO31-1</f>
        <v>2.4982966159436737E-2</v>
      </c>
      <c r="BU33" s="473">
        <f t="shared" ref="BU33" si="274">+BU31/BP31-1</f>
        <v>4.0295406042906823E-2</v>
      </c>
      <c r="BV33" s="379">
        <f t="shared" ref="BV33" si="275">+BV31/BQ31-1</f>
        <v>5.56137224326132E-2</v>
      </c>
      <c r="BW33" s="379">
        <f t="shared" ref="BW33" si="276">+BW31/BR31-1</f>
        <v>1.6227652335292442E-2</v>
      </c>
      <c r="BX33" s="379">
        <f t="shared" ref="BX33" si="277">+BX31/BS31-1</f>
        <v>0.10757829623287707</v>
      </c>
      <c r="BY33" s="379">
        <f t="shared" ref="BY33" si="278">+BY31/BT31-1</f>
        <v>0.19246400000000019</v>
      </c>
      <c r="BZ33" s="473">
        <f t="shared" ref="BZ33" si="279">+BZ31/BU31-1</f>
        <v>9.1750578022512075E-2</v>
      </c>
      <c r="CA33" s="379">
        <f t="shared" ref="CA33" si="280">+CA31/BV31-1</f>
        <v>0.10160959999999997</v>
      </c>
      <c r="CB33" s="379">
        <f t="shared" ref="CB33" si="281">+CB31/BW31-1</f>
        <v>3.2758999999999983E-2</v>
      </c>
      <c r="CC33" s="379">
        <f t="shared" ref="CC33" si="282">+CC31/BX31-1</f>
        <v>-6.584200000000151E-3</v>
      </c>
      <c r="CD33" s="379">
        <f t="shared" ref="CD33" si="283">+CD31/BY31-1</f>
        <v>-3.5240425000000131E-2</v>
      </c>
      <c r="CE33" s="473">
        <f t="shared" ref="CE33" si="284">+CE31/BZ31-1</f>
        <v>2.0729569165448103E-2</v>
      </c>
    </row>
    <row r="34" spans="2:83" ht="12.6" hidden="1" customHeight="1" outlineLevel="1">
      <c r="B34" s="275" t="s">
        <v>226</v>
      </c>
      <c r="C34" s="218"/>
      <c r="D34" s="380"/>
      <c r="E34" s="380">
        <f>+E31/D31-1</f>
        <v>-1.0240252067743261E-2</v>
      </c>
      <c r="F34" s="380">
        <f>+F31/E31-1</f>
        <v>7.8790290489454851E-2</v>
      </c>
      <c r="G34" s="380">
        <f>+G31/F31-1</f>
        <v>6.4182958317964056E-2</v>
      </c>
      <c r="H34" s="171"/>
      <c r="I34" s="380">
        <f>+I31/G31-1</f>
        <v>0.22391681109185413</v>
      </c>
      <c r="J34" s="380">
        <f>+J31/I31-1</f>
        <v>-5.9756442934012943E-2</v>
      </c>
      <c r="K34" s="380">
        <f>+K31/J31-1</f>
        <v>1.6566265060240948E-2</v>
      </c>
      <c r="L34" s="380">
        <f>+L31/K31-1</f>
        <v>0.12088888888888882</v>
      </c>
      <c r="M34" s="380"/>
      <c r="N34" s="380">
        <f>+N31/L31-1</f>
        <v>3.2513877874702724E-2</v>
      </c>
      <c r="O34" s="380">
        <f>+O31/N31-1</f>
        <v>2.2529441884280743E-2</v>
      </c>
      <c r="P34" s="380">
        <f>+P31/O31-1</f>
        <v>7.5112669003485344E-4</v>
      </c>
      <c r="Q34" s="380">
        <f>+Q31/P31-1</f>
        <v>4.7785839379534734E-2</v>
      </c>
      <c r="R34" s="380"/>
      <c r="S34" s="380">
        <f>+S31/Q31-1</f>
        <v>5.8261700095511015E-2</v>
      </c>
      <c r="T34" s="380">
        <f>+T31/S31-1</f>
        <v>1.6922382671480163E-2</v>
      </c>
      <c r="U34" s="380">
        <f>+U31/T31-1</f>
        <v>0.15464832482804525</v>
      </c>
      <c r="V34" s="380">
        <f>+V31/U31-1</f>
        <v>-4.1314373558800743E-2</v>
      </c>
      <c r="W34" s="498"/>
      <c r="X34" s="380">
        <f>+X31/V31-1</f>
        <v>0.14131088394467817</v>
      </c>
      <c r="Y34" s="380">
        <f>+Y31/X31-1</f>
        <v>0.11257463997190031</v>
      </c>
      <c r="Z34" s="380">
        <f>+Z31/Y31-1</f>
        <v>-7.0876085240726083E-2</v>
      </c>
      <c r="AA34" s="380">
        <f>+AA31/Z31-1</f>
        <v>-2.5823989126741442E-2</v>
      </c>
      <c r="AB34" s="498"/>
      <c r="AC34" s="380">
        <f>+AC31/AA31-1</f>
        <v>1.2905476107429426E-2</v>
      </c>
      <c r="AD34" s="380">
        <f>+AD31/AC31-1</f>
        <v>-0.14686639118457301</v>
      </c>
      <c r="AE34" s="380">
        <f>+AE31/AD31-1</f>
        <v>2.3007063572149322E-2</v>
      </c>
      <c r="AF34" s="395">
        <f>+AF31/AE31-1</f>
        <v>6.5101597948313383E-2</v>
      </c>
      <c r="AG34" s="498"/>
      <c r="AH34" s="380">
        <f>+AH31/AF31-1</f>
        <v>0.2576403037599555</v>
      </c>
      <c r="AI34" s="395">
        <f>+AI31/AH31-1</f>
        <v>-0.17923416789396174</v>
      </c>
      <c r="AJ34" s="395">
        <f>+AJ31/AI31-1</f>
        <v>7.7875471020994125E-2</v>
      </c>
      <c r="AK34" s="395">
        <f>+AK31/AJ31-1</f>
        <v>-5.2938238721491615E-2</v>
      </c>
      <c r="AL34" s="474"/>
      <c r="AM34" s="380">
        <f>+AM31/AK31-1</f>
        <v>4.3944454209878803E-2</v>
      </c>
      <c r="AN34" s="395">
        <f>+AN31/AM31-1</f>
        <v>7.8969523488802817E-2</v>
      </c>
      <c r="AO34" s="395">
        <f>+AO31/AN31-1</f>
        <v>-0.12765293383270915</v>
      </c>
      <c r="AP34" s="395">
        <f>+AP31/AO31-1</f>
        <v>0.13309481216457963</v>
      </c>
      <c r="AQ34" s="474"/>
      <c r="AR34" s="380">
        <f>+AR31/AP31-1</f>
        <v>6.37827597095042E-2</v>
      </c>
      <c r="AS34" s="395">
        <f>+AS31/AR31-1</f>
        <v>-3.6064113980409651E-2</v>
      </c>
      <c r="AT34" s="395">
        <f>+AT31/AS31-1</f>
        <v>6.6666666666666652E-2</v>
      </c>
      <c r="AU34" s="395">
        <f>+AU31/AT31-1</f>
        <v>0.21665704387990758</v>
      </c>
      <c r="AV34" s="474"/>
      <c r="AW34" s="380">
        <f>+AW31/AU31-1</f>
        <v>1.5422944596037436E-2</v>
      </c>
      <c r="AX34" s="395">
        <f>+AX31/AW31-1</f>
        <v>-0.16240214978385326</v>
      </c>
      <c r="AY34" s="395">
        <f>+AY31/AX31-1</f>
        <v>-9.8758543729948411E-2</v>
      </c>
      <c r="AZ34" s="395">
        <f>+AZ31/AY31-1</f>
        <v>0.13929732239591397</v>
      </c>
      <c r="BA34" s="474"/>
      <c r="BB34" s="380">
        <f>+BB31/AZ31-1</f>
        <v>-1.0052981931802707E-2</v>
      </c>
      <c r="BC34" s="395">
        <f>+BC31/BB31-1</f>
        <v>4.7344586249485454E-2</v>
      </c>
      <c r="BD34" s="395">
        <f>+BD31/BC31-1</f>
        <v>0.24764150943396235</v>
      </c>
      <c r="BE34" s="395">
        <f>+BE31/BD31-1</f>
        <v>3.5496744381432466E-2</v>
      </c>
      <c r="BF34" s="474"/>
      <c r="BG34" s="380">
        <f>+BG31/BE31-1</f>
        <v>-0.17839756592292089</v>
      </c>
      <c r="BH34" s="395">
        <f>+BH31/BG31-1</f>
        <v>-4.1229477842241735E-2</v>
      </c>
      <c r="BI34" s="395">
        <f>+BI31/BH31-1</f>
        <v>7.1584910518861955E-2</v>
      </c>
      <c r="BJ34" s="395">
        <f>+BJ31/BI31-1</f>
        <v>9.287516520485406E-2</v>
      </c>
      <c r="BK34" s="474"/>
      <c r="BL34" s="380">
        <f>+BL31/BJ31-1</f>
        <v>-1.7260334212840789E-2</v>
      </c>
      <c r="BM34" s="380">
        <f>+BM31/BL31-1</f>
        <v>-4.5530820002237404E-2</v>
      </c>
      <c r="BN34" s="380">
        <f>+BN31/BM31-1</f>
        <v>9.4116268166900996E-2</v>
      </c>
      <c r="BO34" s="380">
        <f>+BO31/BN31-1</f>
        <v>-5.666845206213178E-2</v>
      </c>
      <c r="BP34" s="474"/>
      <c r="BQ34" s="380">
        <f>+BQ31/BO31-1</f>
        <v>1.9532137179196107E-2</v>
      </c>
      <c r="BR34" s="380">
        <f>+BR31/BQ31-1</f>
        <v>8.0307418133214625E-2</v>
      </c>
      <c r="BS34" s="380">
        <f>+BS31/BR31-1</f>
        <v>-3.6601711516651148E-2</v>
      </c>
      <c r="BT34" s="380">
        <f>+BT31/BS31-1</f>
        <v>-3.4032534246575374E-2</v>
      </c>
      <c r="BU34" s="474"/>
      <c r="BV34" s="382">
        <v>0.05</v>
      </c>
      <c r="BW34" s="382">
        <v>0.04</v>
      </c>
      <c r="BX34" s="382">
        <v>0.05</v>
      </c>
      <c r="BY34" s="382">
        <v>0.04</v>
      </c>
      <c r="BZ34" s="474"/>
      <c r="CA34" s="382">
        <v>-0.03</v>
      </c>
      <c r="CB34" s="382">
        <v>-2.5000000000000001E-2</v>
      </c>
      <c r="CC34" s="382">
        <v>0.01</v>
      </c>
      <c r="CD34" s="382">
        <v>0.01</v>
      </c>
      <c r="CE34" s="474"/>
    </row>
    <row r="35" spans="2:83" ht="12.6" customHeight="1" collapsed="1">
      <c r="B35" s="420"/>
      <c r="C35" s="429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433"/>
      <c r="S35" s="178"/>
      <c r="T35" s="178"/>
      <c r="U35" s="178"/>
      <c r="V35" s="178"/>
      <c r="W35" s="509"/>
      <c r="X35" s="178"/>
      <c r="Y35" s="178"/>
      <c r="Z35" s="178"/>
      <c r="AA35" s="178"/>
      <c r="AB35" s="509"/>
      <c r="AC35" s="178"/>
      <c r="AD35" s="178"/>
      <c r="AE35" s="178"/>
      <c r="AF35" s="433"/>
      <c r="AG35" s="509"/>
      <c r="AH35" s="431"/>
      <c r="AI35" s="431"/>
      <c r="AJ35" s="431"/>
      <c r="AK35" s="431"/>
      <c r="AL35" s="483"/>
      <c r="AM35" s="431"/>
      <c r="AN35" s="431"/>
      <c r="AO35" s="431"/>
      <c r="AP35" s="431"/>
      <c r="AQ35" s="485"/>
      <c r="AR35" s="185"/>
      <c r="AS35" s="185"/>
      <c r="AT35" s="185"/>
      <c r="AU35" s="185"/>
      <c r="AV35" s="485"/>
      <c r="AW35" s="185"/>
      <c r="AX35" s="185"/>
      <c r="AY35" s="185"/>
      <c r="AZ35" s="185"/>
      <c r="BA35" s="485"/>
      <c r="BB35" s="185"/>
      <c r="BC35" s="185"/>
      <c r="BD35" s="185"/>
      <c r="BE35" s="185"/>
      <c r="BF35" s="485"/>
      <c r="BG35" s="185"/>
      <c r="BH35" s="185"/>
      <c r="BI35" s="185"/>
      <c r="BJ35" s="185"/>
      <c r="BK35" s="485"/>
      <c r="BL35" s="185"/>
      <c r="BM35" s="185"/>
      <c r="BN35" s="185"/>
      <c r="BO35" s="185"/>
      <c r="BP35" s="485"/>
      <c r="BQ35" s="185"/>
      <c r="BR35" s="185"/>
      <c r="BS35" s="185"/>
      <c r="BT35" s="185"/>
      <c r="BU35" s="485"/>
      <c r="BV35" s="185"/>
      <c r="BW35" s="185"/>
      <c r="BX35" s="185"/>
      <c r="BY35" s="185"/>
      <c r="BZ35" s="485"/>
      <c r="CA35" s="185"/>
      <c r="CB35" s="185"/>
      <c r="CC35" s="185"/>
      <c r="CD35" s="185"/>
      <c r="CE35" s="485"/>
    </row>
    <row r="36" spans="2:83" ht="12.75">
      <c r="B36" s="430"/>
      <c r="C36" s="429"/>
      <c r="D36" s="189" t="s">
        <v>0</v>
      </c>
      <c r="E36" s="189" t="s">
        <v>0</v>
      </c>
      <c r="F36" s="189" t="s">
        <v>0</v>
      </c>
      <c r="G36" s="189" t="s">
        <v>0</v>
      </c>
      <c r="H36" s="189" t="s">
        <v>0</v>
      </c>
      <c r="I36" s="189" t="s">
        <v>0</v>
      </c>
      <c r="J36" s="189" t="s">
        <v>0</v>
      </c>
      <c r="K36" s="189" t="s">
        <v>0</v>
      </c>
      <c r="L36" s="189" t="s">
        <v>0</v>
      </c>
      <c r="M36" s="189" t="s">
        <v>0</v>
      </c>
      <c r="N36" s="189" t="s">
        <v>0</v>
      </c>
      <c r="O36" s="189" t="s">
        <v>0</v>
      </c>
      <c r="P36" s="189" t="s">
        <v>0</v>
      </c>
      <c r="Q36" s="189" t="s">
        <v>0</v>
      </c>
      <c r="R36" s="423" t="s">
        <v>0</v>
      </c>
      <c r="S36" s="189" t="s">
        <v>0</v>
      </c>
      <c r="T36" s="189" t="s">
        <v>0</v>
      </c>
      <c r="U36" s="189" t="s">
        <v>0</v>
      </c>
      <c r="V36" s="189" t="s">
        <v>0</v>
      </c>
      <c r="W36" s="510" t="s">
        <v>0</v>
      </c>
      <c r="X36" s="189" t="s">
        <v>0</v>
      </c>
      <c r="Y36" s="189" t="s">
        <v>0</v>
      </c>
      <c r="Z36" s="189" t="s">
        <v>0</v>
      </c>
      <c r="AA36" s="189" t="s">
        <v>0</v>
      </c>
      <c r="AB36" s="510" t="s">
        <v>0</v>
      </c>
      <c r="AC36" s="189" t="s">
        <v>0</v>
      </c>
      <c r="AD36" s="189" t="s">
        <v>0</v>
      </c>
      <c r="AE36" s="189" t="s">
        <v>0</v>
      </c>
      <c r="AF36" s="423" t="s">
        <v>0</v>
      </c>
      <c r="AG36" s="510" t="s">
        <v>0</v>
      </c>
      <c r="AH36" s="423" t="s">
        <v>0</v>
      </c>
      <c r="AI36" s="423" t="s">
        <v>0</v>
      </c>
      <c r="AJ36" s="423" t="s">
        <v>0</v>
      </c>
      <c r="AK36" s="423" t="s">
        <v>0</v>
      </c>
      <c r="AL36" s="486" t="s">
        <v>0</v>
      </c>
      <c r="AM36" s="423" t="s">
        <v>0</v>
      </c>
      <c r="AN36" s="423" t="s">
        <v>0</v>
      </c>
      <c r="AO36" s="423" t="s">
        <v>0</v>
      </c>
      <c r="AP36" s="423" t="s">
        <v>0</v>
      </c>
      <c r="AQ36" s="486" t="s">
        <v>0</v>
      </c>
      <c r="AR36" s="189" t="s">
        <v>0</v>
      </c>
      <c r="AS36" s="189" t="s">
        <v>0</v>
      </c>
      <c r="AT36" s="189" t="s">
        <v>0</v>
      </c>
      <c r="AU36" s="189" t="s">
        <v>0</v>
      </c>
      <c r="AV36" s="486" t="s">
        <v>0</v>
      </c>
      <c r="AW36" s="189" t="s">
        <v>0</v>
      </c>
      <c r="AX36" s="189" t="s">
        <v>0</v>
      </c>
      <c r="AY36" s="189" t="s">
        <v>0</v>
      </c>
      <c r="AZ36" s="189" t="s">
        <v>0</v>
      </c>
      <c r="BA36" s="486" t="s">
        <v>0</v>
      </c>
      <c r="BB36" s="189" t="s">
        <v>0</v>
      </c>
      <c r="BC36" s="189" t="s">
        <v>0</v>
      </c>
      <c r="BD36" s="189" t="s">
        <v>0</v>
      </c>
      <c r="BE36" s="189" t="s">
        <v>0</v>
      </c>
      <c r="BF36" s="486" t="s">
        <v>0</v>
      </c>
      <c r="BG36" s="189" t="s">
        <v>0</v>
      </c>
      <c r="BH36" s="189" t="s">
        <v>0</v>
      </c>
      <c r="BI36" s="189" t="s">
        <v>0</v>
      </c>
      <c r="BJ36" s="189" t="s">
        <v>0</v>
      </c>
      <c r="BK36" s="486" t="s">
        <v>0</v>
      </c>
      <c r="BL36" s="189" t="s">
        <v>0</v>
      </c>
      <c r="BM36" s="189" t="s">
        <v>0</v>
      </c>
      <c r="BN36" s="189" t="s">
        <v>0</v>
      </c>
      <c r="BO36" s="189" t="s">
        <v>0</v>
      </c>
      <c r="BP36" s="486" t="s">
        <v>0</v>
      </c>
      <c r="BQ36" s="189" t="s">
        <v>0</v>
      </c>
      <c r="BR36" s="189" t="s">
        <v>0</v>
      </c>
      <c r="BS36" s="189" t="s">
        <v>0</v>
      </c>
      <c r="BT36" s="189" t="s">
        <v>0</v>
      </c>
      <c r="BU36" s="486" t="s">
        <v>0</v>
      </c>
      <c r="BV36" s="189" t="s">
        <v>0</v>
      </c>
      <c r="BW36" s="189" t="s">
        <v>0</v>
      </c>
      <c r="BX36" s="189" t="s">
        <v>0</v>
      </c>
      <c r="BY36" s="189" t="s">
        <v>0</v>
      </c>
      <c r="BZ36" s="486" t="s">
        <v>0</v>
      </c>
      <c r="CA36" s="189" t="s">
        <v>0</v>
      </c>
      <c r="CB36" s="189" t="s">
        <v>0</v>
      </c>
      <c r="CC36" s="189" t="s">
        <v>0</v>
      </c>
      <c r="CD36" s="189" t="s">
        <v>0</v>
      </c>
      <c r="CE36" s="486" t="s">
        <v>0</v>
      </c>
    </row>
    <row r="37" spans="2:83" ht="12.6" customHeight="1">
      <c r="B37" s="434" t="s">
        <v>8</v>
      </c>
      <c r="C37" s="435"/>
      <c r="D37" s="246">
        <f t="shared" ref="D37:AI37" si="285">D21+D31+D26</f>
        <v>16539</v>
      </c>
      <c r="E37" s="246">
        <f t="shared" si="285"/>
        <v>16968</v>
      </c>
      <c r="F37" s="246">
        <f t="shared" si="285"/>
        <v>16068</v>
      </c>
      <c r="G37" s="246">
        <f t="shared" si="285"/>
        <v>17259.999999999996</v>
      </c>
      <c r="H37" s="246">
        <f t="shared" si="285"/>
        <v>66835</v>
      </c>
      <c r="I37" s="246">
        <f t="shared" si="285"/>
        <v>18505</v>
      </c>
      <c r="J37" s="246">
        <f t="shared" si="285"/>
        <v>18377</v>
      </c>
      <c r="K37" s="246">
        <f t="shared" si="285"/>
        <v>18321</v>
      </c>
      <c r="L37" s="246">
        <f t="shared" si="285"/>
        <v>20716.000000000004</v>
      </c>
      <c r="M37" s="246">
        <f t="shared" si="285"/>
        <v>75919</v>
      </c>
      <c r="N37" s="246">
        <f t="shared" si="285"/>
        <v>21794</v>
      </c>
      <c r="O37" s="246">
        <f t="shared" si="285"/>
        <v>21015</v>
      </c>
      <c r="P37" s="246">
        <f t="shared" si="285"/>
        <v>21101</v>
      </c>
      <c r="Q37" s="246">
        <f t="shared" si="285"/>
        <v>21667</v>
      </c>
      <c r="R37" s="436">
        <f t="shared" si="285"/>
        <v>85577</v>
      </c>
      <c r="S37" s="246">
        <f t="shared" si="285"/>
        <v>21062</v>
      </c>
      <c r="T37" s="246">
        <f t="shared" si="285"/>
        <v>22370</v>
      </c>
      <c r="U37" s="246">
        <f t="shared" si="285"/>
        <v>22741</v>
      </c>
      <c r="V37" s="246">
        <f t="shared" si="285"/>
        <v>23176</v>
      </c>
      <c r="W37" s="511">
        <f t="shared" si="285"/>
        <v>89349</v>
      </c>
      <c r="X37" s="246">
        <f t="shared" si="285"/>
        <v>24917</v>
      </c>
      <c r="Y37" s="246">
        <f t="shared" si="285"/>
        <v>27047</v>
      </c>
      <c r="Z37" s="246">
        <f t="shared" si="285"/>
        <v>27125</v>
      </c>
      <c r="AA37" s="246">
        <f t="shared" si="285"/>
        <v>27249</v>
      </c>
      <c r="AB37" s="511">
        <f t="shared" si="285"/>
        <v>106338</v>
      </c>
      <c r="AC37" s="246">
        <f t="shared" si="285"/>
        <v>29340</v>
      </c>
      <c r="AD37" s="246">
        <f t="shared" si="285"/>
        <v>28229</v>
      </c>
      <c r="AE37" s="246">
        <f t="shared" si="285"/>
        <v>28702</v>
      </c>
      <c r="AF37" s="436">
        <f t="shared" si="285"/>
        <v>30839</v>
      </c>
      <c r="AG37" s="511">
        <f t="shared" si="285"/>
        <v>117110</v>
      </c>
      <c r="AH37" s="436">
        <f t="shared" si="285"/>
        <v>32056</v>
      </c>
      <c r="AI37" s="436">
        <f t="shared" si="285"/>
        <v>32986</v>
      </c>
      <c r="AJ37" s="436">
        <f t="shared" ref="AJ37:BA37" si="286">AJ21+AJ31+AJ26</f>
        <v>30859</v>
      </c>
      <c r="AK37" s="436">
        <f t="shared" si="286"/>
        <v>35791</v>
      </c>
      <c r="AL37" s="487">
        <f t="shared" si="286"/>
        <v>131692</v>
      </c>
      <c r="AM37" s="436">
        <f t="shared" si="286"/>
        <v>35464</v>
      </c>
      <c r="AN37" s="436">
        <f t="shared" si="286"/>
        <v>36420</v>
      </c>
      <c r="AO37" s="436">
        <f t="shared" si="286"/>
        <v>35183</v>
      </c>
      <c r="AP37" s="436">
        <f t="shared" si="286"/>
        <v>38790</v>
      </c>
      <c r="AQ37" s="487">
        <f t="shared" si="286"/>
        <v>145857</v>
      </c>
      <c r="AR37" s="246">
        <f t="shared" si="286"/>
        <v>37929</v>
      </c>
      <c r="AS37" s="246">
        <f t="shared" si="286"/>
        <v>35545</v>
      </c>
      <c r="AT37" s="246">
        <f t="shared" si="286"/>
        <v>36403</v>
      </c>
      <c r="AU37" s="246">
        <f t="shared" si="286"/>
        <v>39840</v>
      </c>
      <c r="AV37" s="487">
        <f t="shared" si="286"/>
        <v>149717</v>
      </c>
      <c r="AW37" s="246">
        <f t="shared" si="286"/>
        <v>40429</v>
      </c>
      <c r="AX37" s="246">
        <f t="shared" si="286"/>
        <v>41051</v>
      </c>
      <c r="AY37" s="246">
        <f t="shared" si="286"/>
        <v>41956</v>
      </c>
      <c r="AZ37" s="246">
        <f t="shared" si="286"/>
        <v>46637</v>
      </c>
      <c r="BA37" s="487">
        <f t="shared" si="286"/>
        <v>170073</v>
      </c>
      <c r="BB37" s="246">
        <f t="shared" ref="BB37:BF37" si="287">BB21+BB31+BB26</f>
        <v>45133</v>
      </c>
      <c r="BC37" s="246">
        <f t="shared" si="287"/>
        <v>50222</v>
      </c>
      <c r="BD37" s="246">
        <f t="shared" si="287"/>
        <v>54231</v>
      </c>
      <c r="BE37" s="246">
        <f t="shared" si="287"/>
        <v>58359</v>
      </c>
      <c r="BF37" s="487">
        <f t="shared" si="287"/>
        <v>207945</v>
      </c>
      <c r="BG37" s="246">
        <f t="shared" ref="BG37:BK37" si="288">BG21+BG31+BG26</f>
        <v>54085</v>
      </c>
      <c r="BH37" s="246">
        <f t="shared" si="288"/>
        <v>53407</v>
      </c>
      <c r="BI37" s="246">
        <f t="shared" si="288"/>
        <v>55061</v>
      </c>
      <c r="BJ37" s="246">
        <f t="shared" si="288"/>
        <v>59472</v>
      </c>
      <c r="BK37" s="487">
        <f t="shared" si="288"/>
        <v>222025</v>
      </c>
      <c r="BL37" s="246">
        <f t="shared" ref="BL37:BP37" si="289">BL21+BL31+BL26</f>
        <v>56810</v>
      </c>
      <c r="BM37" s="246">
        <f t="shared" si="289"/>
        <v>58980</v>
      </c>
      <c r="BN37" s="246">
        <f t="shared" si="289"/>
        <v>61809</v>
      </c>
      <c r="BO37" s="246">
        <f t="shared" si="289"/>
        <v>62224</v>
      </c>
      <c r="BP37" s="487">
        <f t="shared" si="289"/>
        <v>239823</v>
      </c>
      <c r="BQ37" s="246">
        <f t="shared" ref="BQ37:BU37" si="290">BQ21+BQ31+BQ26</f>
        <v>62488</v>
      </c>
      <c r="BR37" s="246">
        <f t="shared" si="290"/>
        <v>67712</v>
      </c>
      <c r="BS37" s="246">
        <f t="shared" si="290"/>
        <v>64854</v>
      </c>
      <c r="BT37" s="246">
        <f t="shared" si="290"/>
        <v>68914</v>
      </c>
      <c r="BU37" s="487">
        <f t="shared" si="290"/>
        <v>263968</v>
      </c>
      <c r="BV37" s="246">
        <f t="shared" ref="BV37:BZ37" si="291">BV21+BV31+BV26</f>
        <v>70689.19</v>
      </c>
      <c r="BW37" s="246">
        <f t="shared" si="291"/>
        <v>74631.550099999993</v>
      </c>
      <c r="BX37" s="246">
        <f t="shared" si="291"/>
        <v>77495.594366000005</v>
      </c>
      <c r="BY37" s="246">
        <f t="shared" si="291"/>
        <v>82039.677226500004</v>
      </c>
      <c r="BZ37" s="487">
        <f t="shared" si="291"/>
        <v>304856.01169250003</v>
      </c>
      <c r="CA37" s="246">
        <f t="shared" ref="CA37:CE37" si="292">CA21+CA31+CA26</f>
        <v>79165.041446568008</v>
      </c>
      <c r="CB37" s="246">
        <f t="shared" si="292"/>
        <v>79697.849619239045</v>
      </c>
      <c r="CC37" s="246">
        <f t="shared" si="292"/>
        <v>79914.148268964724</v>
      </c>
      <c r="CD37" s="246">
        <f t="shared" si="292"/>
        <v>81122.184007133154</v>
      </c>
      <c r="CE37" s="487">
        <f t="shared" si="292"/>
        <v>319899.22334190493</v>
      </c>
    </row>
    <row r="38" spans="2:83" ht="12.6" customHeight="1">
      <c r="B38" s="420" t="s">
        <v>7</v>
      </c>
      <c r="C38" s="425"/>
      <c r="D38" s="191">
        <f t="shared" ref="D38:AL38" si="293">D37/D$9</f>
        <v>0.78047284224434899</v>
      </c>
      <c r="E38" s="191">
        <f t="shared" si="293"/>
        <v>0.76466876971608833</v>
      </c>
      <c r="F38" s="191">
        <f t="shared" si="293"/>
        <v>0.68719527841929684</v>
      </c>
      <c r="G38" s="191">
        <f t="shared" si="293"/>
        <v>0.70000405564342771</v>
      </c>
      <c r="H38" s="191">
        <f t="shared" si="293"/>
        <v>0.73107635090789758</v>
      </c>
      <c r="I38" s="191">
        <f t="shared" si="293"/>
        <v>0.74368042438612703</v>
      </c>
      <c r="J38" s="191">
        <f t="shared" si="293"/>
        <v>0.69898444334563159</v>
      </c>
      <c r="K38" s="191">
        <f t="shared" si="293"/>
        <v>0.66024000864896037</v>
      </c>
      <c r="L38" s="191">
        <f t="shared" si="293"/>
        <v>0.71338544715727115</v>
      </c>
      <c r="M38" s="191">
        <f t="shared" si="293"/>
        <v>0.70320112632222442</v>
      </c>
      <c r="N38" s="191">
        <f t="shared" si="293"/>
        <v>0.71794702859401771</v>
      </c>
      <c r="O38" s="191">
        <f t="shared" si="293"/>
        <v>0.65057891152250635</v>
      </c>
      <c r="P38" s="191">
        <f t="shared" si="293"/>
        <v>0.61432980086176781</v>
      </c>
      <c r="Q38" s="191">
        <f t="shared" si="293"/>
        <v>0.59243157520575285</v>
      </c>
      <c r="R38" s="437">
        <f t="shared" si="293"/>
        <v>0.64064710770405531</v>
      </c>
      <c r="S38" s="191">
        <f t="shared" si="293"/>
        <v>0.56175819486304113</v>
      </c>
      <c r="T38" s="191">
        <f t="shared" si="293"/>
        <v>0.56097499811921658</v>
      </c>
      <c r="U38" s="191">
        <f t="shared" si="293"/>
        <v>0.53547293319833289</v>
      </c>
      <c r="V38" s="191">
        <f t="shared" si="293"/>
        <v>0.52145348183147711</v>
      </c>
      <c r="W38" s="512">
        <f t="shared" si="293"/>
        <v>0.54386915341725306</v>
      </c>
      <c r="X38" s="191">
        <f t="shared" si="293"/>
        <v>0.53876924407541948</v>
      </c>
      <c r="Y38" s="191">
        <f t="shared" si="293"/>
        <v>0.55806132133867037</v>
      </c>
      <c r="Z38" s="191">
        <f t="shared" si="293"/>
        <v>0.53199835252123095</v>
      </c>
      <c r="AA38" s="191">
        <f t="shared" si="293"/>
        <v>0.52177159926470584</v>
      </c>
      <c r="AB38" s="512">
        <f t="shared" si="293"/>
        <v>0.53726411519514972</v>
      </c>
      <c r="AC38" s="191">
        <f t="shared" si="293"/>
        <v>0.55232393968487037</v>
      </c>
      <c r="AD38" s="191">
        <f t="shared" si="293"/>
        <v>0.51045170156594699</v>
      </c>
      <c r="AE38" s="191">
        <f t="shared" si="293"/>
        <v>0.48246764162044042</v>
      </c>
      <c r="AF38" s="437">
        <f t="shared" si="293"/>
        <v>0.49016927600731147</v>
      </c>
      <c r="AG38" s="512">
        <f t="shared" si="293"/>
        <v>0.50734746217963156</v>
      </c>
      <c r="AH38" s="437">
        <f t="shared" si="293"/>
        <v>0.49409661210271588</v>
      </c>
      <c r="AI38" s="437">
        <f t="shared" si="293"/>
        <v>0.48399923701084324</v>
      </c>
      <c r="AJ38" s="437">
        <f t="shared" si="293"/>
        <v>0.43064277540539786</v>
      </c>
      <c r="AK38" s="437">
        <f t="shared" si="293"/>
        <v>0.48235849056603775</v>
      </c>
      <c r="AL38" s="488">
        <f t="shared" si="293"/>
        <v>0.47220220230987958</v>
      </c>
      <c r="AM38" s="437">
        <f t="shared" ref="AM38:AQ38" si="294">AM37/AM$9</f>
        <v>0.47070066230439456</v>
      </c>
      <c r="AN38" s="437">
        <f t="shared" si="294"/>
        <v>0.46142735876547275</v>
      </c>
      <c r="AO38" s="437">
        <f t="shared" si="294"/>
        <v>0.42557849790131969</v>
      </c>
      <c r="AP38" s="437">
        <f t="shared" si="294"/>
        <v>0.45816403666257205</v>
      </c>
      <c r="AQ38" s="488">
        <f t="shared" si="294"/>
        <v>0.45352557624678569</v>
      </c>
      <c r="AR38" s="191">
        <f t="shared" ref="AR38:AV38" si="295">AR37/AR$9</f>
        <v>0.43969024958556974</v>
      </c>
      <c r="AS38" s="191">
        <f t="shared" si="295"/>
        <v>0.40014634695485757</v>
      </c>
      <c r="AT38" s="191">
        <f t="shared" si="295"/>
        <v>0.39113990695075695</v>
      </c>
      <c r="AU38" s="191">
        <f t="shared" si="295"/>
        <v>0.42024873155346465</v>
      </c>
      <c r="AV38" s="488">
        <f t="shared" si="295"/>
        <v>0.41248557015453363</v>
      </c>
      <c r="AW38" s="191">
        <f t="shared" ref="AW38:BA38" si="296">AW37/AW$9</f>
        <v>0.41784488817230975</v>
      </c>
      <c r="AX38" s="191">
        <f t="shared" si="296"/>
        <v>0.41173697618904337</v>
      </c>
      <c r="AY38" s="191">
        <f t="shared" si="296"/>
        <v>0.39983227552556844</v>
      </c>
      <c r="AZ38" s="191">
        <f t="shared" si="296"/>
        <v>0.42482237201676082</v>
      </c>
      <c r="BA38" s="488">
        <f t="shared" si="296"/>
        <v>0.41362981915110952</v>
      </c>
      <c r="BB38" s="191">
        <f t="shared" ref="BB38:BF38" si="297">BB37/BB$9</f>
        <v>0.39792805501675188</v>
      </c>
      <c r="BC38" s="191">
        <f t="shared" si="297"/>
        <v>0.41889017707455817</v>
      </c>
      <c r="BD38" s="191">
        <f t="shared" si="297"/>
        <v>0.43190958976115196</v>
      </c>
      <c r="BE38" s="191">
        <f t="shared" si="297"/>
        <v>0.44600264426934866</v>
      </c>
      <c r="BF38" s="488">
        <f t="shared" si="297"/>
        <v>0.42461758994370286</v>
      </c>
      <c r="BG38" s="191">
        <f t="shared" ref="BG38:BK38" si="298">BG37/BG$9</f>
        <v>0.41386408331611607</v>
      </c>
      <c r="BH38" s="191">
        <f t="shared" si="298"/>
        <v>0.38923831527086417</v>
      </c>
      <c r="BI38" s="191">
        <f t="shared" si="298"/>
        <v>0.38776444406884703</v>
      </c>
      <c r="BJ38" s="191">
        <f t="shared" si="298"/>
        <v>0.41137165387009755</v>
      </c>
      <c r="BK38" s="488">
        <f t="shared" si="298"/>
        <v>0.40043610156224635</v>
      </c>
      <c r="BL38" s="191">
        <f t="shared" ref="BL38:BP38" si="299">BL37/BL$9</f>
        <v>0.389629985254278</v>
      </c>
      <c r="BM38" s="191">
        <f t="shared" si="299"/>
        <v>0.39661618742771065</v>
      </c>
      <c r="BN38" s="191">
        <f t="shared" si="299"/>
        <v>0.40170406909863715</v>
      </c>
      <c r="BO38" s="191">
        <f t="shared" si="299"/>
        <v>0.3908763686389306</v>
      </c>
      <c r="BP38" s="488">
        <f t="shared" si="299"/>
        <v>0.39472423799029249</v>
      </c>
      <c r="BQ38" s="191">
        <f t="shared" ref="BQ38:BU38" si="300">BQ37/BQ$9</f>
        <v>0.39079669041082182</v>
      </c>
      <c r="BR38" s="191">
        <f t="shared" si="300"/>
        <v>0.4127220197242506</v>
      </c>
      <c r="BS38" s="191">
        <f t="shared" si="300"/>
        <v>0.38175910337763858</v>
      </c>
      <c r="BT38" s="191">
        <f t="shared" si="300"/>
        <v>0.39316073527230405</v>
      </c>
      <c r="BU38" s="488">
        <f t="shared" si="300"/>
        <v>0.39449729123855781</v>
      </c>
      <c r="BV38" s="191">
        <f t="shared" ref="BV38:BZ38" si="301">BV37/BV$9</f>
        <v>0.40745299963689635</v>
      </c>
      <c r="BW38" s="191">
        <f t="shared" si="301"/>
        <v>0.42120227188276149</v>
      </c>
      <c r="BX38" s="191">
        <f t="shared" si="301"/>
        <v>0.42434704672436113</v>
      </c>
      <c r="BY38" s="191">
        <f t="shared" si="301"/>
        <v>0.43742423944720532</v>
      </c>
      <c r="BZ38" s="488">
        <f t="shared" si="301"/>
        <v>0.4229105275718319</v>
      </c>
      <c r="CA38" s="191">
        <f t="shared" ref="CA38:CE38" si="302">CA37/CA$9</f>
        <v>0.42250728550264738</v>
      </c>
      <c r="CB38" s="191">
        <f t="shared" si="302"/>
        <v>0.42036937484996328</v>
      </c>
      <c r="CC38" s="191">
        <f t="shared" si="302"/>
        <v>0.41282118895724701</v>
      </c>
      <c r="CD38" s="191">
        <f t="shared" si="302"/>
        <v>0.40804933225828949</v>
      </c>
      <c r="CE38" s="488">
        <f t="shared" si="302"/>
        <v>0.4158072003799303</v>
      </c>
    </row>
    <row r="39" spans="2:83" ht="12.6" customHeight="1">
      <c r="B39" s="275" t="s">
        <v>128</v>
      </c>
      <c r="C39" s="425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437"/>
      <c r="S39" s="191"/>
      <c r="T39" s="191"/>
      <c r="U39" s="191"/>
      <c r="V39" s="191"/>
      <c r="W39" s="512"/>
      <c r="X39" s="191"/>
      <c r="Y39" s="191"/>
      <c r="Z39" s="191"/>
      <c r="AA39" s="191"/>
      <c r="AB39" s="512"/>
      <c r="AC39" s="191"/>
      <c r="AD39" s="191"/>
      <c r="AE39" s="191"/>
      <c r="AF39" s="437"/>
      <c r="AG39" s="512"/>
      <c r="AH39" s="437"/>
      <c r="AI39" s="437"/>
      <c r="AJ39" s="437"/>
      <c r="AK39" s="437"/>
      <c r="AL39" s="488"/>
      <c r="AM39" s="437"/>
      <c r="AN39" s="437"/>
      <c r="AO39" s="437"/>
      <c r="AP39" s="437"/>
      <c r="AQ39" s="488"/>
      <c r="AR39" s="191"/>
      <c r="AS39" s="191"/>
      <c r="AT39" s="191"/>
      <c r="AU39" s="191"/>
      <c r="AV39" s="488"/>
      <c r="AW39" s="191"/>
      <c r="AX39" s="191"/>
      <c r="AY39" s="191"/>
      <c r="AZ39" s="191"/>
      <c r="BA39" s="488"/>
      <c r="BB39" s="191">
        <f t="shared" ref="BB39:BF39" si="303">BB37/AW37-1</f>
        <v>0.11635212347572277</v>
      </c>
      <c r="BC39" s="191">
        <f t="shared" si="303"/>
        <v>0.2234050327641226</v>
      </c>
      <c r="BD39" s="191">
        <f t="shared" si="303"/>
        <v>0.2925684049957098</v>
      </c>
      <c r="BE39" s="191">
        <f t="shared" si="303"/>
        <v>0.25134549820957619</v>
      </c>
      <c r="BF39" s="488">
        <f t="shared" si="303"/>
        <v>0.22268084881198069</v>
      </c>
      <c r="BG39" s="191">
        <f>BG37/BB37-1</f>
        <v>0.19834710743801653</v>
      </c>
      <c r="BH39" s="191">
        <f t="shared" ref="BH39:BZ39" si="304">BH37/BC37-1</f>
        <v>6.3418422205407943E-2</v>
      </c>
      <c r="BI39" s="191">
        <f t="shared" si="304"/>
        <v>1.5304899411775486E-2</v>
      </c>
      <c r="BJ39" s="191">
        <f t="shared" si="304"/>
        <v>1.9071608492263303E-2</v>
      </c>
      <c r="BK39" s="488">
        <f t="shared" si="304"/>
        <v>6.7710211834860257E-2</v>
      </c>
      <c r="BL39" s="191">
        <f t="shared" si="304"/>
        <v>5.0383655357308044E-2</v>
      </c>
      <c r="BM39" s="191">
        <f t="shared" si="304"/>
        <v>0.10434961709139245</v>
      </c>
      <c r="BN39" s="191">
        <f t="shared" si="304"/>
        <v>0.12255498447176771</v>
      </c>
      <c r="BO39" s="191">
        <f t="shared" si="304"/>
        <v>4.6273876782351397E-2</v>
      </c>
      <c r="BP39" s="488">
        <f t="shared" si="304"/>
        <v>8.016214390271359E-2</v>
      </c>
      <c r="BQ39" s="191">
        <f t="shared" si="304"/>
        <v>9.9947192395704931E-2</v>
      </c>
      <c r="BR39" s="191">
        <f t="shared" si="304"/>
        <v>0.14805018650389967</v>
      </c>
      <c r="BS39" s="191">
        <f t="shared" si="304"/>
        <v>4.9264670193661209E-2</v>
      </c>
      <c r="BT39" s="191">
        <f t="shared" si="304"/>
        <v>0.10751478529184877</v>
      </c>
      <c r="BU39" s="488">
        <f t="shared" si="304"/>
        <v>0.10067841699920366</v>
      </c>
      <c r="BV39" s="191">
        <f t="shared" si="304"/>
        <v>0.13124423889386772</v>
      </c>
      <c r="BW39" s="191">
        <f t="shared" si="304"/>
        <v>0.10219089821597338</v>
      </c>
      <c r="BX39" s="191">
        <f t="shared" si="304"/>
        <v>0.19492389622845163</v>
      </c>
      <c r="BY39" s="191">
        <f t="shared" si="304"/>
        <v>0.19046459683808803</v>
      </c>
      <c r="BZ39" s="488">
        <f t="shared" si="304"/>
        <v>0.15489760763615301</v>
      </c>
      <c r="CA39" s="191">
        <f t="shared" ref="CA39" si="305">CA37/BV37-1</f>
        <v>0.11990307777706888</v>
      </c>
      <c r="CB39" s="191">
        <f t="shared" ref="CB39" si="306">CB37/BW37-1</f>
        <v>6.7884152378593798E-2</v>
      </c>
      <c r="CC39" s="191">
        <f t="shared" ref="CC39" si="307">CC37/BX37-1</f>
        <v>3.1208921265152956E-2</v>
      </c>
      <c r="CD39" s="191">
        <f t="shared" ref="CD39" si="308">CD37/BY37-1</f>
        <v>-1.1183530340249659E-2</v>
      </c>
      <c r="CE39" s="488">
        <f t="shared" ref="CE39" si="309">CE37/BZ37-1</f>
        <v>4.934530096975287E-2</v>
      </c>
    </row>
    <row r="40" spans="2:83" ht="4.5" customHeight="1">
      <c r="B40" s="420"/>
      <c r="C40" s="407"/>
      <c r="D40" s="189" t="s">
        <v>0</v>
      </c>
      <c r="E40" s="189" t="s">
        <v>0</v>
      </c>
      <c r="F40" s="189" t="s">
        <v>0</v>
      </c>
      <c r="G40" s="189" t="s">
        <v>0</v>
      </c>
      <c r="H40" s="189" t="s">
        <v>0</v>
      </c>
      <c r="I40" s="189" t="s">
        <v>0</v>
      </c>
      <c r="J40" s="189" t="s">
        <v>0</v>
      </c>
      <c r="K40" s="189" t="s">
        <v>0</v>
      </c>
      <c r="L40" s="189" t="s">
        <v>0</v>
      </c>
      <c r="M40" s="189" t="s">
        <v>0</v>
      </c>
      <c r="N40" s="189" t="s">
        <v>0</v>
      </c>
      <c r="O40" s="189" t="s">
        <v>0</v>
      </c>
      <c r="P40" s="189" t="s">
        <v>0</v>
      </c>
      <c r="Q40" s="189" t="s">
        <v>0</v>
      </c>
      <c r="R40" s="423" t="s">
        <v>0</v>
      </c>
      <c r="S40" s="189" t="s">
        <v>0</v>
      </c>
      <c r="T40" s="189" t="s">
        <v>0</v>
      </c>
      <c r="U40" s="189" t="s">
        <v>0</v>
      </c>
      <c r="V40" s="189" t="s">
        <v>0</v>
      </c>
      <c r="W40" s="510" t="s">
        <v>0</v>
      </c>
      <c r="X40" s="189" t="s">
        <v>0</v>
      </c>
      <c r="Y40" s="189" t="s">
        <v>0</v>
      </c>
      <c r="Z40" s="189" t="s">
        <v>0</v>
      </c>
      <c r="AA40" s="189" t="s">
        <v>0</v>
      </c>
      <c r="AB40" s="510" t="s">
        <v>0</v>
      </c>
      <c r="AC40" s="189" t="s">
        <v>0</v>
      </c>
      <c r="AD40" s="189" t="s">
        <v>0</v>
      </c>
      <c r="AE40" s="189" t="s">
        <v>0</v>
      </c>
      <c r="AF40" s="423" t="s">
        <v>0</v>
      </c>
      <c r="AG40" s="510" t="s">
        <v>0</v>
      </c>
      <c r="AH40" s="423" t="s">
        <v>0</v>
      </c>
      <c r="AI40" s="423" t="s">
        <v>0</v>
      </c>
      <c r="AJ40" s="423" t="s">
        <v>0</v>
      </c>
      <c r="AK40" s="423" t="s">
        <v>0</v>
      </c>
      <c r="AL40" s="486" t="s">
        <v>0</v>
      </c>
      <c r="AM40" s="423" t="s">
        <v>0</v>
      </c>
      <c r="AN40" s="423" t="s">
        <v>0</v>
      </c>
      <c r="AO40" s="423" t="s">
        <v>0</v>
      </c>
      <c r="AP40" s="423" t="s">
        <v>0</v>
      </c>
      <c r="AQ40" s="486" t="s">
        <v>0</v>
      </c>
      <c r="AR40" s="189" t="s">
        <v>0</v>
      </c>
      <c r="AS40" s="189" t="s">
        <v>0</v>
      </c>
      <c r="AT40" s="189" t="s">
        <v>0</v>
      </c>
      <c r="AU40" s="189" t="s">
        <v>0</v>
      </c>
      <c r="AV40" s="486" t="s">
        <v>0</v>
      </c>
      <c r="AW40" s="189" t="s">
        <v>0</v>
      </c>
      <c r="AX40" s="189" t="s">
        <v>0</v>
      </c>
      <c r="AY40" s="189" t="s">
        <v>0</v>
      </c>
      <c r="AZ40" s="189" t="s">
        <v>0</v>
      </c>
      <c r="BA40" s="486" t="s">
        <v>0</v>
      </c>
      <c r="BB40" s="189" t="s">
        <v>0</v>
      </c>
      <c r="BC40" s="189" t="s">
        <v>0</v>
      </c>
      <c r="BD40" s="189" t="s">
        <v>0</v>
      </c>
      <c r="BE40" s="189" t="s">
        <v>0</v>
      </c>
      <c r="BF40" s="486" t="s">
        <v>0</v>
      </c>
      <c r="BG40" s="189" t="s">
        <v>0</v>
      </c>
      <c r="BH40" s="189" t="s">
        <v>0</v>
      </c>
      <c r="BI40" s="189" t="s">
        <v>0</v>
      </c>
      <c r="BJ40" s="189" t="s">
        <v>0</v>
      </c>
      <c r="BK40" s="486" t="s">
        <v>0</v>
      </c>
      <c r="BL40" s="189" t="s">
        <v>0</v>
      </c>
      <c r="BM40" s="189" t="s">
        <v>0</v>
      </c>
      <c r="BN40" s="189" t="s">
        <v>0</v>
      </c>
      <c r="BO40" s="189" t="s">
        <v>0</v>
      </c>
      <c r="BP40" s="486" t="s">
        <v>0</v>
      </c>
      <c r="BQ40" s="189" t="s">
        <v>0</v>
      </c>
      <c r="BR40" s="189" t="s">
        <v>0</v>
      </c>
      <c r="BS40" s="189" t="s">
        <v>0</v>
      </c>
      <c r="BT40" s="189" t="s">
        <v>0</v>
      </c>
      <c r="BU40" s="486" t="s">
        <v>0</v>
      </c>
      <c r="BV40" s="189" t="s">
        <v>0</v>
      </c>
      <c r="BW40" s="189" t="s">
        <v>0</v>
      </c>
      <c r="BX40" s="189" t="s">
        <v>0</v>
      </c>
      <c r="BY40" s="189" t="s">
        <v>0</v>
      </c>
      <c r="BZ40" s="486" t="s">
        <v>0</v>
      </c>
      <c r="CA40" s="189" t="s">
        <v>0</v>
      </c>
      <c r="CB40" s="189" t="s">
        <v>0</v>
      </c>
      <c r="CC40" s="189" t="s">
        <v>0</v>
      </c>
      <c r="CD40" s="189" t="s">
        <v>0</v>
      </c>
      <c r="CE40" s="486" t="s">
        <v>0</v>
      </c>
    </row>
    <row r="41" spans="2:83" ht="12.6" customHeight="1">
      <c r="B41" s="434" t="s">
        <v>2</v>
      </c>
      <c r="C41" s="415"/>
      <c r="D41" s="246">
        <f>D16-D37</f>
        <v>546</v>
      </c>
      <c r="E41" s="246">
        <f>E16-E37</f>
        <v>666</v>
      </c>
      <c r="F41" s="246">
        <f>F16-F37</f>
        <v>2748</v>
      </c>
      <c r="G41" s="246">
        <f>G16-G37</f>
        <v>2497.0000000000036</v>
      </c>
      <c r="H41" s="246">
        <f>D41+E41+F41+G41</f>
        <v>6457.0000000000036</v>
      </c>
      <c r="I41" s="246">
        <f>I16-I37</f>
        <v>676</v>
      </c>
      <c r="J41" s="246">
        <f>J16-J37</f>
        <v>2101</v>
      </c>
      <c r="K41" s="246">
        <f>K16-K37</f>
        <v>3116</v>
      </c>
      <c r="L41" s="246">
        <f>L16-L37</f>
        <v>1922.0000000000036</v>
      </c>
      <c r="M41" s="246">
        <f>I41+J41+K41+L41</f>
        <v>7815.0000000000036</v>
      </c>
      <c r="N41" s="246">
        <f>N16-N37</f>
        <v>1865</v>
      </c>
      <c r="O41" s="246">
        <f>O16-O37</f>
        <v>4270</v>
      </c>
      <c r="P41" s="246">
        <f>P16-P37</f>
        <v>6001</v>
      </c>
      <c r="Q41" s="246">
        <f>Q16-Q37</f>
        <v>7660</v>
      </c>
      <c r="R41" s="436">
        <f>N41+O41+P41+Q41</f>
        <v>19796</v>
      </c>
      <c r="S41" s="246">
        <f>S16-S37</f>
        <v>8795</v>
      </c>
      <c r="T41" s="246">
        <f>T16-T37</f>
        <v>9694</v>
      </c>
      <c r="U41" s="246">
        <f>U16-U37</f>
        <v>11299</v>
      </c>
      <c r="V41" s="246">
        <f>V16-V37</f>
        <v>12512</v>
      </c>
      <c r="W41" s="511">
        <f>S41+T41+U41+V41</f>
        <v>42300</v>
      </c>
      <c r="X41" s="246">
        <f>X16-X37</f>
        <v>12294</v>
      </c>
      <c r="Y41" s="246">
        <f>Y16-Y37</f>
        <v>11750</v>
      </c>
      <c r="Z41" s="246">
        <f>Z16-Z37</f>
        <v>13090</v>
      </c>
      <c r="AA41" s="246">
        <f>AA16-AA37</f>
        <v>13838</v>
      </c>
      <c r="AB41" s="511">
        <f>X41+Y41+Z41+AA41</f>
        <v>50972</v>
      </c>
      <c r="AC41" s="246">
        <f>AC16-AC37</f>
        <v>11988</v>
      </c>
      <c r="AD41" s="246">
        <f>AD16-AD37</f>
        <v>15456</v>
      </c>
      <c r="AE41" s="246">
        <f>AE16-AE37</f>
        <v>18678</v>
      </c>
      <c r="AF41" s="436">
        <f>AF16-AF37</f>
        <v>18635</v>
      </c>
      <c r="AG41" s="511">
        <f>AC41+AD41+AE41+AF41</f>
        <v>64757</v>
      </c>
      <c r="AH41" s="436">
        <f>AH16-AH37</f>
        <v>18183</v>
      </c>
      <c r="AI41" s="436">
        <f>AI16-AI37</f>
        <v>20367</v>
      </c>
      <c r="AJ41" s="436">
        <f>AJ16-AJ37</f>
        <v>25752</v>
      </c>
      <c r="AK41" s="436">
        <f>AK16-AK37</f>
        <v>22824</v>
      </c>
      <c r="AL41" s="487">
        <f>AH41+AI41+AJ41+AK41</f>
        <v>87126</v>
      </c>
      <c r="AM41" s="436">
        <f>AM16-AM37</f>
        <v>24210</v>
      </c>
      <c r="AN41" s="436">
        <f>AN16-AN37</f>
        <v>27022</v>
      </c>
      <c r="AO41" s="436">
        <f>AO16-AO37</f>
        <v>32452</v>
      </c>
      <c r="AP41" s="436">
        <f>AP16-AP37</f>
        <v>30794</v>
      </c>
      <c r="AQ41" s="487">
        <f>AM41+AN41+AO41+AP41</f>
        <v>114478</v>
      </c>
      <c r="AR41" s="246">
        <f>AR16-AR37</f>
        <v>31948</v>
      </c>
      <c r="AS41" s="246">
        <f>AS16-AS37</f>
        <v>36472</v>
      </c>
      <c r="AT41" s="246">
        <f>AT16-AT37</f>
        <v>38396</v>
      </c>
      <c r="AU41" s="246">
        <f>AU16-AU37</f>
        <v>36161</v>
      </c>
      <c r="AV41" s="487">
        <f>AR41+AS41+AT41+AU41</f>
        <v>142977</v>
      </c>
      <c r="AW41" s="246">
        <f>AW16-AW37</f>
        <v>37142</v>
      </c>
      <c r="AX41" s="246">
        <f>AX16-AX37</f>
        <v>39561</v>
      </c>
      <c r="AY41" s="246">
        <f>AY16-AY37</f>
        <v>43105</v>
      </c>
      <c r="AZ41" s="246">
        <f>AZ16-AZ37</f>
        <v>42115</v>
      </c>
      <c r="BA41" s="487">
        <f>AW41+AX41+AY41+AZ41</f>
        <v>161923</v>
      </c>
      <c r="BB41" s="246">
        <f>BB16-BB37</f>
        <v>46986</v>
      </c>
      <c r="BC41" s="246">
        <f>BC16-BC37</f>
        <v>47287</v>
      </c>
      <c r="BD41" s="246">
        <f>BD16-BD37</f>
        <v>47983</v>
      </c>
      <c r="BE41" s="246">
        <f>BE16-BE37</f>
        <v>47385</v>
      </c>
      <c r="BF41" s="487">
        <f>BB41+BC41+BD41+BE41</f>
        <v>189641</v>
      </c>
      <c r="BG41" s="246">
        <f>BG16-BG37</f>
        <v>51983</v>
      </c>
      <c r="BH41" s="246">
        <f>BH16-BH37</f>
        <v>59604</v>
      </c>
      <c r="BI41" s="246">
        <f>BI16-BI37</f>
        <v>62889</v>
      </c>
      <c r="BJ41" s="246">
        <f>BJ16-BJ37</f>
        <v>60759</v>
      </c>
      <c r="BK41" s="487">
        <f>BG41+BH41+BI41+BJ41</f>
        <v>235235</v>
      </c>
      <c r="BL41" s="246">
        <f>BL16-BL37</f>
        <v>64564</v>
      </c>
      <c r="BM41" s="246">
        <f>BM16-BM37</f>
        <v>65925</v>
      </c>
      <c r="BN41" s="246">
        <f>BN16-BN37</f>
        <v>66012</v>
      </c>
      <c r="BO41" s="246">
        <f>BO16-BO37</f>
        <v>70731</v>
      </c>
      <c r="BP41" s="487">
        <f>BL41+BM41+BN41+BO41</f>
        <v>267232</v>
      </c>
      <c r="BQ41" s="246">
        <f>BQ16-BQ37</f>
        <v>71215</v>
      </c>
      <c r="BR41" s="246">
        <f>BR16-BR37</f>
        <v>70092</v>
      </c>
      <c r="BS41" s="246">
        <f>BS16-BS37</f>
        <v>80041</v>
      </c>
      <c r="BT41" s="246">
        <f>BT16-BT37</f>
        <v>80127</v>
      </c>
      <c r="BU41" s="487">
        <f>BQ41+BR41+BS41+BT41</f>
        <v>301475</v>
      </c>
      <c r="BV41" s="246">
        <f>BV16-BV37</f>
        <v>75042.758600000001</v>
      </c>
      <c r="BW41" s="246">
        <f>BW16-BW37</f>
        <v>74205.496300000028</v>
      </c>
      <c r="BX41" s="246">
        <f>BX16-BX37</f>
        <v>76455.72108399999</v>
      </c>
      <c r="BY41" s="246">
        <f>BY16-BY37</f>
        <v>76441.543073500012</v>
      </c>
      <c r="BZ41" s="487">
        <f>BV41+BW41+BX41+BY41</f>
        <v>302145.51905750006</v>
      </c>
      <c r="CA41" s="246">
        <f>CA16-CA37</f>
        <v>78600.202337832015</v>
      </c>
      <c r="CB41" s="246">
        <f>CB16-CB37</f>
        <v>80316.150217560964</v>
      </c>
      <c r="CC41" s="246">
        <f>CC16-CC37</f>
        <v>83661.407186035271</v>
      </c>
      <c r="CD41" s="246">
        <f>CD16-CD37</f>
        <v>87861.933732866863</v>
      </c>
      <c r="CE41" s="487">
        <f>CA41+CB41+CC41+CD41</f>
        <v>330439.69347429508</v>
      </c>
    </row>
    <row r="42" spans="2:83" ht="13.35" customHeight="1">
      <c r="B42" s="420" t="s">
        <v>9</v>
      </c>
      <c r="C42" s="421"/>
      <c r="D42" s="191">
        <f t="shared" ref="D42:AL42" si="310">D41/D$9</f>
        <v>2.5765655230994292E-2</v>
      </c>
      <c r="E42" s="191">
        <f t="shared" si="310"/>
        <v>3.0013519603424965E-2</v>
      </c>
      <c r="F42" s="191">
        <f t="shared" si="310"/>
        <v>0.11752630228380806</v>
      </c>
      <c r="G42" s="191">
        <f t="shared" si="310"/>
        <v>0.10126941639291089</v>
      </c>
      <c r="H42" s="191">
        <f t="shared" si="310"/>
        <v>7.0630059068037668E-2</v>
      </c>
      <c r="I42" s="191">
        <f t="shared" si="310"/>
        <v>2.7167142225615882E-2</v>
      </c>
      <c r="J42" s="191">
        <f t="shared" si="310"/>
        <v>7.9913278308166288E-2</v>
      </c>
      <c r="K42" s="191">
        <f t="shared" si="310"/>
        <v>0.11229233485891384</v>
      </c>
      <c r="L42" s="191">
        <f t="shared" si="310"/>
        <v>6.6186852164330831E-2</v>
      </c>
      <c r="M42" s="191">
        <f t="shared" si="310"/>
        <v>7.2386580463496442E-2</v>
      </c>
      <c r="N42" s="191">
        <f t="shared" si="310"/>
        <v>6.143760706285413E-2</v>
      </c>
      <c r="O42" s="191">
        <f t="shared" si="310"/>
        <v>0.13218995727818711</v>
      </c>
      <c r="P42" s="191">
        <f t="shared" si="310"/>
        <v>0.17471177361127285</v>
      </c>
      <c r="Q42" s="191">
        <f t="shared" si="310"/>
        <v>0.20944412544773466</v>
      </c>
      <c r="R42" s="437">
        <f t="shared" si="310"/>
        <v>0.14819694712492232</v>
      </c>
      <c r="S42" s="191">
        <f t="shared" si="310"/>
        <v>0.23457712106259834</v>
      </c>
      <c r="T42" s="191">
        <f t="shared" si="310"/>
        <v>0.24309752488903377</v>
      </c>
      <c r="U42" s="191">
        <f t="shared" si="310"/>
        <v>0.2660528856342273</v>
      </c>
      <c r="V42" s="191">
        <f t="shared" si="310"/>
        <v>0.28151648104398697</v>
      </c>
      <c r="W42" s="512">
        <f t="shared" si="310"/>
        <v>0.25748094762727958</v>
      </c>
      <c r="X42" s="191">
        <f t="shared" si="310"/>
        <v>0.26582771146860407</v>
      </c>
      <c r="Y42" s="191">
        <f t="shared" si="310"/>
        <v>0.24243799777163372</v>
      </c>
      <c r="Z42" s="191">
        <f t="shared" si="310"/>
        <v>0.25673210818443915</v>
      </c>
      <c r="AA42" s="191">
        <f t="shared" si="310"/>
        <v>0.26497395833333331</v>
      </c>
      <c r="AB42" s="512">
        <f t="shared" si="310"/>
        <v>0.25753189339396237</v>
      </c>
      <c r="AC42" s="191">
        <f t="shared" si="310"/>
        <v>0.22567346247246853</v>
      </c>
      <c r="AD42" s="191">
        <f t="shared" si="310"/>
        <v>0.27948356298144733</v>
      </c>
      <c r="AE42" s="191">
        <f t="shared" si="310"/>
        <v>0.31396873424104893</v>
      </c>
      <c r="AF42" s="437">
        <f t="shared" si="310"/>
        <v>0.29619327664308986</v>
      </c>
      <c r="AG42" s="512">
        <f t="shared" si="310"/>
        <v>0.28054222191415251</v>
      </c>
      <c r="AH42" s="437">
        <f t="shared" si="310"/>
        <v>0.28026449643947099</v>
      </c>
      <c r="AI42" s="437">
        <f t="shared" si="310"/>
        <v>0.29884231068331546</v>
      </c>
      <c r="AJ42" s="437">
        <f t="shared" si="310"/>
        <v>0.35937369170225236</v>
      </c>
      <c r="AK42" s="437">
        <f t="shared" si="310"/>
        <v>0.3076010781671159</v>
      </c>
      <c r="AL42" s="488">
        <f t="shared" si="310"/>
        <v>0.31240385960005596</v>
      </c>
      <c r="AM42" s="437">
        <f t="shared" ref="AM42:AQ42" si="311">AM41/AM$9</f>
        <v>0.32133044874772704</v>
      </c>
      <c r="AN42" s="437">
        <f t="shared" si="311"/>
        <v>0.34235832203626043</v>
      </c>
      <c r="AO42" s="437">
        <f t="shared" si="311"/>
        <v>0.39254393922899206</v>
      </c>
      <c r="AP42" s="437">
        <f t="shared" si="311"/>
        <v>0.36372011716904468</v>
      </c>
      <c r="AQ42" s="488">
        <f t="shared" si="311"/>
        <v>0.35595618254577793</v>
      </c>
      <c r="AR42" s="191">
        <f t="shared" ref="AR42:AV42" si="312">AR41/AR$9</f>
        <v>0.37035577246328089</v>
      </c>
      <c r="AS42" s="191">
        <f t="shared" si="312"/>
        <v>0.4105820105820106</v>
      </c>
      <c r="AT42" s="191">
        <f t="shared" si="312"/>
        <v>0.41255412650828954</v>
      </c>
      <c r="AU42" s="191">
        <f t="shared" si="312"/>
        <v>0.38144112403877595</v>
      </c>
      <c r="AV42" s="488">
        <f t="shared" si="312"/>
        <v>0.39391618429426689</v>
      </c>
      <c r="AW42" s="191">
        <f t="shared" ref="AW42:BA42" si="313">AW41/AW$9</f>
        <v>0.38387283475960149</v>
      </c>
      <c r="AX42" s="191">
        <f t="shared" si="313"/>
        <v>0.39679244147559728</v>
      </c>
      <c r="AY42" s="191">
        <f t="shared" si="313"/>
        <v>0.41078201536203707</v>
      </c>
      <c r="AZ42" s="191">
        <f t="shared" si="313"/>
        <v>0.38363089815995627</v>
      </c>
      <c r="BA42" s="488">
        <f t="shared" si="313"/>
        <v>0.39380843053515319</v>
      </c>
      <c r="BB42" s="191">
        <f t="shared" ref="BB42:BF42" si="314">BB41/BB$9</f>
        <v>0.41426556162934225</v>
      </c>
      <c r="BC42" s="191">
        <f t="shared" si="314"/>
        <v>0.39441001559724087</v>
      </c>
      <c r="BD42" s="191">
        <f t="shared" si="314"/>
        <v>0.38214891566648879</v>
      </c>
      <c r="BE42" s="191">
        <f t="shared" si="314"/>
        <v>0.36213498001513195</v>
      </c>
      <c r="BF42" s="488">
        <f t="shared" si="314"/>
        <v>0.38724135889063815</v>
      </c>
      <c r="BG42" s="191">
        <f t="shared" ref="BG42:BK42" si="315">BG41/BG$9</f>
        <v>0.39777935921275148</v>
      </c>
      <c r="BH42" s="191">
        <f t="shared" si="315"/>
        <v>0.4344029910574379</v>
      </c>
      <c r="BI42" s="191">
        <f t="shared" si="315"/>
        <v>0.44289275754246599</v>
      </c>
      <c r="BJ42" s="191">
        <f t="shared" si="315"/>
        <v>0.42027391575015566</v>
      </c>
      <c r="BK42" s="488">
        <f t="shared" si="315"/>
        <v>0.4242611703681794</v>
      </c>
      <c r="BL42" s="191">
        <f t="shared" ref="BL42:BP42" si="316">BL41/BL$9</f>
        <v>0.44281060320290799</v>
      </c>
      <c r="BM42" s="191">
        <f t="shared" si="316"/>
        <v>0.44331844957904082</v>
      </c>
      <c r="BN42" s="191">
        <f t="shared" si="316"/>
        <v>0.42901986780791201</v>
      </c>
      <c r="BO42" s="191">
        <f t="shared" si="316"/>
        <v>0.44431531933337942</v>
      </c>
      <c r="BP42" s="488">
        <f t="shared" si="316"/>
        <v>0.43983666106512653</v>
      </c>
      <c r="BQ42" s="191">
        <f t="shared" ref="BQ42:BU42" si="317">BQ41/BQ$9</f>
        <v>0.44537489290114385</v>
      </c>
      <c r="BR42" s="191">
        <f t="shared" si="317"/>
        <v>0.42722873060184563</v>
      </c>
      <c r="BS42" s="191">
        <f t="shared" si="317"/>
        <v>0.4711564497710175</v>
      </c>
      <c r="BT42" s="191">
        <f t="shared" si="317"/>
        <v>0.45713193596604329</v>
      </c>
      <c r="BU42" s="488">
        <f t="shared" si="317"/>
        <v>0.45055109284513356</v>
      </c>
      <c r="BV42" s="191">
        <f t="shared" ref="BV42:BZ42" si="318">BV41/BV$9</f>
        <v>0.43254700036310362</v>
      </c>
      <c r="BW42" s="191">
        <f t="shared" si="318"/>
        <v>0.41879772811723853</v>
      </c>
      <c r="BX42" s="191">
        <f t="shared" si="318"/>
        <v>0.41865295327563889</v>
      </c>
      <c r="BY42" s="191">
        <f t="shared" si="318"/>
        <v>0.40757576055279465</v>
      </c>
      <c r="BZ42" s="488">
        <f t="shared" si="318"/>
        <v>0.41915040532958581</v>
      </c>
      <c r="CA42" s="191">
        <f t="shared" ref="CA42:CE42" si="319">CA41/CA$9</f>
        <v>0.41949271449735265</v>
      </c>
      <c r="CB42" s="191">
        <f t="shared" si="319"/>
        <v>0.42363062515003663</v>
      </c>
      <c r="CC42" s="191">
        <f t="shared" si="319"/>
        <v>0.43217881104275296</v>
      </c>
      <c r="CD42" s="191">
        <f t="shared" si="319"/>
        <v>0.44195066774171049</v>
      </c>
      <c r="CE42" s="488">
        <f t="shared" si="319"/>
        <v>0.42950777561312847</v>
      </c>
    </row>
    <row r="43" spans="2:83" ht="13.15" hidden="1" outlineLevel="1">
      <c r="B43" s="186"/>
      <c r="C43" s="214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516"/>
      <c r="X43" s="191"/>
      <c r="Y43" s="191"/>
      <c r="Z43" s="191"/>
      <c r="AA43" s="191"/>
      <c r="AB43" s="516"/>
      <c r="AC43" s="191"/>
      <c r="AD43" s="191"/>
      <c r="AE43" s="246"/>
      <c r="AF43" s="246" t="e">
        <f ca="1">_xll.FDS(+$B$1,"FE_ESTIMATE(EBIT_ADJ,MEAN,QUARTERLY,"&amp;IS!AF$74&amp;",NOW,,,'')")*1000</f>
        <v>#NAME?</v>
      </c>
      <c r="AG43" s="499" t="e">
        <f ca="1">_xll.FDS(+$B$1,"FE_ESTIMATE(EBIT_ADJ,MEAN,ANNUAL,"&amp;IS!AG$74&amp;",NOW,,,'')")*1000</f>
        <v>#NAME?</v>
      </c>
      <c r="AH43" s="246" t="e">
        <f ca="1">_xll.FDS(+$B$1,"FE_ESTIMATE(EBIT_ADJ,MEAN,QUARTERLY,"&amp;IS!AH$74&amp;",NOW,,,'')")*1000</f>
        <v>#NAME?</v>
      </c>
      <c r="AI43" s="246" t="e">
        <f ca="1">_xll.FDS(+$B$1,"FE_ESTIMATE(EBIT_ADJ,MEAN,QUARTERLY,"&amp;IS!AI$74&amp;",NOW,,,'')")*1000</f>
        <v>#NAME?</v>
      </c>
      <c r="AJ43" s="246" t="e">
        <f ca="1">_xll.FDS(+$B$1,"FE_ESTIMATE(EBIT_ADJ,MEAN,QUARTERLY,"&amp;IS!AJ$74&amp;",NOW,,,'')")*1000</f>
        <v>#NAME?</v>
      </c>
      <c r="AK43" s="246" t="e">
        <f ca="1">_xll.FDS(+$B$1,"FE_ESTIMATE(EBIT_ADJ,MEAN,QUARTERLY,"&amp;IS!AK$74&amp;",NOW,,,'')")*1000</f>
        <v>#NAME?</v>
      </c>
      <c r="AL43" s="489" t="e">
        <f ca="1">_xll.FDS(+$B$1,"FE_ESTIMATE(EBIT_ADJ,MEAN,ANNUAL,"&amp;IS!AL$74&amp;",NOW,,,'')")*1000</f>
        <v>#NAME?</v>
      </c>
      <c r="AM43" s="246"/>
      <c r="AN43" s="246"/>
      <c r="AO43" s="246"/>
      <c r="AP43" s="246"/>
      <c r="AQ43" s="489" t="e">
        <f ca="1">_xll.FDS(+$B$1,"FE_ESTIMATE(EBIT_ADJ,MEAN,ANNUAL,"&amp;IS!AQ$74&amp;",NOW,,,'')")*1000</f>
        <v>#NAME?</v>
      </c>
      <c r="AR43" s="246"/>
      <c r="AS43" s="246"/>
      <c r="AT43" s="246"/>
      <c r="AU43" s="246"/>
      <c r="AV43" s="489"/>
      <c r="AW43" s="246"/>
      <c r="AX43" s="246"/>
      <c r="AY43" s="246"/>
      <c r="AZ43" s="246"/>
      <c r="BA43" s="489"/>
      <c r="BB43" s="246"/>
      <c r="BC43" s="246"/>
      <c r="BD43" s="246"/>
      <c r="BE43" s="246"/>
      <c r="BF43" s="489"/>
      <c r="BG43" s="246"/>
      <c r="BH43" s="246"/>
      <c r="BI43" s="246"/>
      <c r="BJ43" s="246"/>
      <c r="BK43" s="489"/>
      <c r="BL43" s="246"/>
      <c r="BM43" s="246"/>
      <c r="BN43" s="246"/>
      <c r="BO43" s="246"/>
      <c r="BP43" s="489"/>
      <c r="BQ43" s="246"/>
      <c r="BR43" s="246"/>
      <c r="BS43" s="246"/>
      <c r="BT43" s="246"/>
      <c r="BU43" s="542"/>
      <c r="BV43" s="246"/>
      <c r="BW43" s="246"/>
      <c r="BX43" s="246"/>
      <c r="BY43" s="246"/>
      <c r="BZ43" s="489"/>
      <c r="CA43" s="246"/>
      <c r="CB43" s="246"/>
      <c r="CC43" s="246"/>
      <c r="CD43" s="246"/>
      <c r="CE43" s="489"/>
    </row>
    <row r="44" spans="2:83" ht="10.5" customHeight="1" collapsed="1">
      <c r="B44" s="420"/>
      <c r="C44" s="421"/>
      <c r="D44" s="189"/>
      <c r="E44" s="189"/>
      <c r="F44" s="189"/>
      <c r="G44" s="189"/>
      <c r="H44" s="222"/>
      <c r="I44" s="189"/>
      <c r="J44" s="189"/>
      <c r="K44" s="189"/>
      <c r="L44" s="189"/>
      <c r="M44" s="222"/>
      <c r="N44" s="189"/>
      <c r="O44" s="189"/>
      <c r="P44" s="189"/>
      <c r="Q44" s="189"/>
      <c r="R44" s="438"/>
      <c r="S44" s="189"/>
      <c r="T44" s="189"/>
      <c r="U44" s="189"/>
      <c r="V44" s="189"/>
      <c r="W44" s="517"/>
      <c r="X44" s="189"/>
      <c r="Y44" s="189"/>
      <c r="Z44" s="189"/>
      <c r="AA44" s="189"/>
      <c r="AB44" s="517"/>
      <c r="AC44" s="189"/>
      <c r="AD44" s="189"/>
      <c r="AE44" s="189"/>
      <c r="AF44" s="423"/>
      <c r="AG44" s="510"/>
      <c r="AH44" s="423"/>
      <c r="AI44" s="423"/>
      <c r="AJ44" s="423"/>
      <c r="AK44" s="423"/>
      <c r="AL44" s="486"/>
      <c r="AM44" s="423"/>
      <c r="AN44" s="423"/>
      <c r="AO44" s="423"/>
      <c r="AP44" s="423"/>
      <c r="AQ44" s="486"/>
      <c r="AR44" s="189"/>
      <c r="AS44" s="189"/>
      <c r="AT44" s="189"/>
      <c r="AU44" s="189"/>
      <c r="AV44" s="486"/>
      <c r="AW44" s="189"/>
      <c r="AX44" s="189"/>
      <c r="AY44" s="189"/>
      <c r="AZ44" s="189"/>
      <c r="BA44" s="486"/>
      <c r="BB44" s="189"/>
      <c r="BC44" s="189"/>
      <c r="BD44" s="189"/>
      <c r="BE44" s="189"/>
      <c r="BF44" s="486"/>
      <c r="BG44" s="189"/>
      <c r="BH44" s="189"/>
      <c r="BI44" s="189"/>
      <c r="BJ44" s="189"/>
      <c r="BK44" s="486"/>
      <c r="BL44" s="189"/>
      <c r="BM44" s="189"/>
      <c r="BN44" s="189"/>
      <c r="BO44" s="189"/>
      <c r="BP44" s="486"/>
      <c r="BQ44" s="189"/>
      <c r="BR44" s="189"/>
      <c r="BS44" s="189"/>
      <c r="BT44" s="189"/>
      <c r="BU44" s="486"/>
      <c r="BV44" s="189"/>
      <c r="BW44" s="189"/>
      <c r="BX44" s="189"/>
      <c r="BY44" s="189"/>
      <c r="BZ44" s="486"/>
      <c r="CA44" s="189"/>
      <c r="CB44" s="189"/>
      <c r="CC44" s="189"/>
      <c r="CD44" s="189"/>
      <c r="CE44" s="486"/>
    </row>
    <row r="45" spans="2:83" ht="12.75">
      <c r="B45" s="420" t="s">
        <v>289</v>
      </c>
      <c r="C45" s="421"/>
      <c r="D45" s="189">
        <v>-65</v>
      </c>
      <c r="E45" s="189">
        <v>-50</v>
      </c>
      <c r="F45" s="189">
        <v>-38</v>
      </c>
      <c r="G45" s="189">
        <v>-39</v>
      </c>
      <c r="H45" s="216">
        <f>+D45+E45+F45+G45</f>
        <v>-192</v>
      </c>
      <c r="I45" s="189">
        <v>-18</v>
      </c>
      <c r="J45" s="189">
        <v>-12</v>
      </c>
      <c r="K45" s="189">
        <v>-7</v>
      </c>
      <c r="L45" s="189">
        <v>-6</v>
      </c>
      <c r="M45" s="216">
        <f>+I45+J45+K45+L45</f>
        <v>-43</v>
      </c>
      <c r="N45" s="189">
        <v>-4</v>
      </c>
      <c r="O45" s="189">
        <v>-3</v>
      </c>
      <c r="P45" s="189">
        <v>-2</v>
      </c>
      <c r="Q45" s="189">
        <v>87</v>
      </c>
      <c r="R45" s="427">
        <f>+N45+O45+P45+Q45</f>
        <v>78</v>
      </c>
      <c r="S45" s="189">
        <v>101</v>
      </c>
      <c r="T45" s="189">
        <v>-4</v>
      </c>
      <c r="U45" s="189">
        <v>153</v>
      </c>
      <c r="V45" s="189">
        <v>-2</v>
      </c>
      <c r="W45" s="505">
        <f>+S45+T45+U45+V45</f>
        <v>248</v>
      </c>
      <c r="X45" s="189">
        <v>-13</v>
      </c>
      <c r="Y45" s="189">
        <v>-1</v>
      </c>
      <c r="Z45" s="189">
        <v>-9</v>
      </c>
      <c r="AA45" s="189">
        <v>-3</v>
      </c>
      <c r="AB45" s="505">
        <f>+X45+Y45+Z45+AA45</f>
        <v>-26</v>
      </c>
      <c r="AC45" s="189">
        <v>-2</v>
      </c>
      <c r="AD45" s="189">
        <v>-1</v>
      </c>
      <c r="AE45" s="189">
        <v>0</v>
      </c>
      <c r="AF45" s="423">
        <v>0</v>
      </c>
      <c r="AG45" s="505">
        <f>+AC45+AD45+AE45+AF45</f>
        <v>-3</v>
      </c>
      <c r="AH45" s="423">
        <v>-38</v>
      </c>
      <c r="AI45" s="423">
        <v>-39</v>
      </c>
      <c r="AJ45" s="423">
        <v>-35</v>
      </c>
      <c r="AK45" s="423">
        <v>-60</v>
      </c>
      <c r="AL45" s="481">
        <f>+AH45+AI45+AJ45+AK45</f>
        <v>-172</v>
      </c>
      <c r="AM45" s="423">
        <v>-42</v>
      </c>
      <c r="AN45" s="423">
        <v>-28</v>
      </c>
      <c r="AO45" s="423">
        <f>-28</f>
        <v>-28</v>
      </c>
      <c r="AP45" s="423">
        <v>-8</v>
      </c>
      <c r="AQ45" s="481">
        <f>+AM45+AN45+AO45+AP45</f>
        <v>-106</v>
      </c>
      <c r="AR45" s="189">
        <v>-3</v>
      </c>
      <c r="AS45" s="189">
        <v>0</v>
      </c>
      <c r="AT45" s="189">
        <f>-1</f>
        <v>-1</v>
      </c>
      <c r="AU45" s="189">
        <f>-5</f>
        <v>-5</v>
      </c>
      <c r="AV45" s="481">
        <f>+AR45+AS45+AT45+AU45</f>
        <v>-9</v>
      </c>
      <c r="AW45" s="189">
        <f>-4</f>
        <v>-4</v>
      </c>
      <c r="AX45" s="189">
        <f>0</f>
        <v>0</v>
      </c>
      <c r="AY45" s="189">
        <f>0</f>
        <v>0</v>
      </c>
      <c r="AZ45" s="189">
        <v>4</v>
      </c>
      <c r="BA45" s="481">
        <f>+AW45+AX45+AY45+AZ45</f>
        <v>0</v>
      </c>
      <c r="BB45" s="189">
        <v>0</v>
      </c>
      <c r="BC45" s="189">
        <f>0</f>
        <v>0</v>
      </c>
      <c r="BD45" s="189">
        <f>0</f>
        <v>0</v>
      </c>
      <c r="BE45" s="189">
        <v>0</v>
      </c>
      <c r="BF45" s="481">
        <f>+BB45+BC45+BD45+BE45</f>
        <v>0</v>
      </c>
      <c r="BG45" s="189">
        <f>0</f>
        <v>0</v>
      </c>
      <c r="BH45" s="189">
        <f t="shared" ref="BH45" si="320">+BG45</f>
        <v>0</v>
      </c>
      <c r="BI45" s="189">
        <f t="shared" ref="BI45:BJ45" si="321">+BH45</f>
        <v>0</v>
      </c>
      <c r="BJ45" s="189">
        <f t="shared" si="321"/>
        <v>0</v>
      </c>
      <c r="BK45" s="481">
        <f>+BG45+BH45+BI45+BJ45</f>
        <v>0</v>
      </c>
      <c r="BL45" s="189">
        <f>0</f>
        <v>0</v>
      </c>
      <c r="BM45" s="189">
        <f>0</f>
        <v>0</v>
      </c>
      <c r="BN45" s="189">
        <f>0</f>
        <v>0</v>
      </c>
      <c r="BO45" s="189">
        <f>0</f>
        <v>0</v>
      </c>
      <c r="BP45" s="481">
        <f>+BL45+BM45+BN45+BO45</f>
        <v>0</v>
      </c>
      <c r="BQ45" s="189"/>
      <c r="BR45" s="189">
        <f>0</f>
        <v>0</v>
      </c>
      <c r="BS45" s="189">
        <f>0</f>
        <v>0</v>
      </c>
      <c r="BT45" s="189">
        <f t="shared" ref="BT45" si="322">+BS45</f>
        <v>0</v>
      </c>
      <c r="BU45" s="481">
        <f>+BQ45+BR45+BS45+BT45</f>
        <v>0</v>
      </c>
      <c r="BV45" s="189">
        <f>BT45</f>
        <v>0</v>
      </c>
      <c r="BW45" s="189">
        <f t="shared" ref="BW45" si="323">+BV45</f>
        <v>0</v>
      </c>
      <c r="BX45" s="189">
        <f t="shared" ref="BX45" si="324">+BW45</f>
        <v>0</v>
      </c>
      <c r="BY45" s="189">
        <f t="shared" ref="BY45" si="325">+BX45</f>
        <v>0</v>
      </c>
      <c r="BZ45" s="481">
        <f>+BV45+BW45+BX45+BY45</f>
        <v>0</v>
      </c>
      <c r="CA45" s="189">
        <f>BY45</f>
        <v>0</v>
      </c>
      <c r="CB45" s="189">
        <f t="shared" ref="CB45" si="326">+CA45</f>
        <v>0</v>
      </c>
      <c r="CC45" s="189">
        <f t="shared" ref="CC45" si="327">+CB45</f>
        <v>0</v>
      </c>
      <c r="CD45" s="189">
        <f t="shared" ref="CD45" si="328">+CC45</f>
        <v>0</v>
      </c>
      <c r="CE45" s="481">
        <f>+CA45+CB45+CC45+CD45</f>
        <v>0</v>
      </c>
    </row>
    <row r="46" spans="2:83" ht="12.6" customHeight="1">
      <c r="B46" s="420" t="s">
        <v>290</v>
      </c>
      <c r="C46" s="421"/>
      <c r="D46" s="189">
        <v>0</v>
      </c>
      <c r="E46" s="189">
        <v>1</v>
      </c>
      <c r="F46" s="189">
        <v>1</v>
      </c>
      <c r="G46" s="189">
        <v>12</v>
      </c>
      <c r="H46" s="216">
        <f>+D46+E46+F46+G46</f>
        <v>14</v>
      </c>
      <c r="I46" s="189">
        <v>77</v>
      </c>
      <c r="J46" s="189">
        <v>81</v>
      </c>
      <c r="K46" s="189">
        <v>115</v>
      </c>
      <c r="L46" s="189">
        <v>102</v>
      </c>
      <c r="M46" s="216">
        <f>+I46+J46+K46+L46</f>
        <v>375</v>
      </c>
      <c r="N46" s="189">
        <v>108</v>
      </c>
      <c r="O46" s="189">
        <v>130</v>
      </c>
      <c r="P46" s="189">
        <v>127</v>
      </c>
      <c r="Q46" s="189">
        <v>0</v>
      </c>
      <c r="R46" s="427">
        <f>+N46+O46+P46+Q46</f>
        <v>365</v>
      </c>
      <c r="S46" s="189">
        <v>0</v>
      </c>
      <c r="T46" s="189">
        <v>132</v>
      </c>
      <c r="U46" s="189">
        <v>0</v>
      </c>
      <c r="V46" s="189">
        <v>184</v>
      </c>
      <c r="W46" s="505">
        <f>+S46+T46+U46+V46</f>
        <v>316</v>
      </c>
      <c r="X46" s="189">
        <v>250</v>
      </c>
      <c r="Y46" s="189">
        <v>290</v>
      </c>
      <c r="Z46" s="189">
        <v>363</v>
      </c>
      <c r="AA46" s="189">
        <v>417</v>
      </c>
      <c r="AB46" s="505">
        <f>+X46+Y46+Z46+AA46</f>
        <v>1320</v>
      </c>
      <c r="AC46" s="189">
        <v>481</v>
      </c>
      <c r="AD46" s="189">
        <v>541</v>
      </c>
      <c r="AE46" s="189">
        <v>753</v>
      </c>
      <c r="AF46" s="423">
        <v>899</v>
      </c>
      <c r="AG46" s="505">
        <f>+AC46+AD46+AE46+AF46</f>
        <v>2674</v>
      </c>
      <c r="AH46" s="423">
        <v>1090</v>
      </c>
      <c r="AI46" s="423">
        <v>1452</v>
      </c>
      <c r="AJ46" s="423">
        <v>1651</v>
      </c>
      <c r="AK46" s="423">
        <v>1887</v>
      </c>
      <c r="AL46" s="481">
        <f>+AH46+AI46+AJ46+AK46</f>
        <v>6080</v>
      </c>
      <c r="AM46" s="423">
        <v>2051</v>
      </c>
      <c r="AN46" s="423">
        <f>2198+0</f>
        <v>2198</v>
      </c>
      <c r="AO46" s="423">
        <f>2142</f>
        <v>2142</v>
      </c>
      <c r="AP46" s="423">
        <v>2052</v>
      </c>
      <c r="AQ46" s="481">
        <f>+AM46+AN46+AO46+AP46</f>
        <v>8443</v>
      </c>
      <c r="AR46" s="189">
        <v>1924</v>
      </c>
      <c r="AS46" s="189">
        <v>1392</v>
      </c>
      <c r="AT46" s="189">
        <f>1123</f>
        <v>1123</v>
      </c>
      <c r="AU46" s="189">
        <f>946</f>
        <v>946</v>
      </c>
      <c r="AV46" s="481">
        <f>+AR46+AS46+AT46+AU46</f>
        <v>5385</v>
      </c>
      <c r="AW46" s="189">
        <f>746</f>
        <v>746</v>
      </c>
      <c r="AX46" s="189">
        <f>567</f>
        <v>567</v>
      </c>
      <c r="AY46" s="189">
        <f>525</f>
        <v>525</v>
      </c>
      <c r="AZ46" s="189">
        <f>449</f>
        <v>449</v>
      </c>
      <c r="BA46" s="481">
        <f>+AW46+AX46+AY46+AZ46</f>
        <v>2287</v>
      </c>
      <c r="BB46" s="189">
        <f>518</f>
        <v>518</v>
      </c>
      <c r="BC46" s="189">
        <f>839</f>
        <v>839</v>
      </c>
      <c r="BD46" s="189">
        <f>1568</f>
        <v>1568</v>
      </c>
      <c r="BE46" s="189">
        <f>2266</f>
        <v>2266</v>
      </c>
      <c r="BF46" s="481">
        <f>+BB46+BC46+BD46+BE46</f>
        <v>5191</v>
      </c>
      <c r="BG46" s="189">
        <f>2397</f>
        <v>2397</v>
      </c>
      <c r="BH46" s="189">
        <f>3809</f>
        <v>3809</v>
      </c>
      <c r="BI46" s="189">
        <f>5136</f>
        <v>5136</v>
      </c>
      <c r="BJ46" s="189">
        <f>5563</f>
        <v>5563</v>
      </c>
      <c r="BK46" s="481">
        <f>+BG46+BH46+BI46+BJ46</f>
        <v>16905</v>
      </c>
      <c r="BL46" s="189">
        <f>6123</f>
        <v>6123</v>
      </c>
      <c r="BM46" s="189">
        <f>6703</f>
        <v>6703</v>
      </c>
      <c r="BN46" s="189">
        <f>6764</f>
        <v>6764</v>
      </c>
      <c r="BO46" s="189">
        <f>6194</f>
        <v>6194</v>
      </c>
      <c r="BP46" s="481">
        <f>+BL46+BM46+BN46+BO46</f>
        <v>25784</v>
      </c>
      <c r="BQ46" s="189">
        <f>6235</f>
        <v>6235</v>
      </c>
      <c r="BR46" s="189">
        <f>6407</f>
        <v>6407</v>
      </c>
      <c r="BS46" s="189">
        <f>6264</f>
        <v>6264</v>
      </c>
      <c r="BT46" s="189">
        <f>6345</f>
        <v>6345</v>
      </c>
      <c r="BU46" s="481">
        <f>+BQ46+BR46+BS46+BT46</f>
        <v>25251</v>
      </c>
      <c r="BV46" s="189">
        <f>BT46-100</f>
        <v>6245</v>
      </c>
      <c r="BW46" s="189">
        <f>+BV46-100</f>
        <v>6145</v>
      </c>
      <c r="BX46" s="189">
        <f t="shared" ref="BX46:BY46" si="329">+BW46-100</f>
        <v>6045</v>
      </c>
      <c r="BY46" s="189">
        <f t="shared" si="329"/>
        <v>5945</v>
      </c>
      <c r="BZ46" s="481">
        <f>+BV46+BW46+BX46+BY46</f>
        <v>24380</v>
      </c>
      <c r="CA46" s="189">
        <f>BY46</f>
        <v>5945</v>
      </c>
      <c r="CB46" s="189">
        <f>+CA46</f>
        <v>5945</v>
      </c>
      <c r="CC46" s="189">
        <f>+CB46</f>
        <v>5945</v>
      </c>
      <c r="CD46" s="189">
        <f>+CC46</f>
        <v>5945</v>
      </c>
      <c r="CE46" s="481">
        <f>+CA46+CB46+CC46+CD46</f>
        <v>23780</v>
      </c>
    </row>
    <row r="47" spans="2:83" ht="12.6" customHeight="1">
      <c r="B47" s="420" t="s">
        <v>423</v>
      </c>
      <c r="C47" s="421"/>
      <c r="D47" s="189">
        <v>-12</v>
      </c>
      <c r="E47" s="189">
        <v>-92</v>
      </c>
      <c r="F47" s="189">
        <v>60</v>
      </c>
      <c r="G47" s="189">
        <v>-144</v>
      </c>
      <c r="H47" s="216">
        <f>+D47+E47+F47+G47</f>
        <v>-188</v>
      </c>
      <c r="I47" s="189">
        <v>-319</v>
      </c>
      <c r="J47" s="189">
        <v>33</v>
      </c>
      <c r="K47" s="189">
        <v>-84</v>
      </c>
      <c r="L47" s="189">
        <v>-147</v>
      </c>
      <c r="M47" s="216">
        <f>+I47+J47+K47+L47</f>
        <v>-517</v>
      </c>
      <c r="N47" s="189">
        <v>-101</v>
      </c>
      <c r="O47" s="189">
        <v>-37</v>
      </c>
      <c r="P47" s="189">
        <v>-141</v>
      </c>
      <c r="Q47" s="189">
        <v>-655</v>
      </c>
      <c r="R47" s="427">
        <f>+N47+O47+P47+Q47</f>
        <v>-934</v>
      </c>
      <c r="S47" s="189">
        <v>-178</v>
      </c>
      <c r="T47" s="189">
        <v>0</v>
      </c>
      <c r="U47" s="189">
        <v>-307</v>
      </c>
      <c r="V47" s="189">
        <v>-365</v>
      </c>
      <c r="W47" s="505">
        <f>+S47+T47+U47+V47</f>
        <v>-850</v>
      </c>
      <c r="X47" s="189">
        <v>-69</v>
      </c>
      <c r="Y47" s="189">
        <v>-249</v>
      </c>
      <c r="Z47" s="189">
        <v>-124</v>
      </c>
      <c r="AA47" s="189">
        <v>-530</v>
      </c>
      <c r="AB47" s="505">
        <f>+X47+Y47+Z47+AA47</f>
        <v>-972</v>
      </c>
      <c r="AC47" s="189">
        <v>-26</v>
      </c>
      <c r="AD47" s="189">
        <v>-180</v>
      </c>
      <c r="AE47" s="189">
        <v>-82</v>
      </c>
      <c r="AF47" s="423">
        <v>-247</v>
      </c>
      <c r="AG47" s="505">
        <f>+AC47+AD47+AE47+AF47</f>
        <v>-535</v>
      </c>
      <c r="AH47" s="423">
        <v>193</v>
      </c>
      <c r="AI47" s="423">
        <v>-529</v>
      </c>
      <c r="AJ47" s="423">
        <v>-500</v>
      </c>
      <c r="AK47" s="423">
        <v>35</v>
      </c>
      <c r="AL47" s="481">
        <f>+AH47+AI47+AJ47+AK47</f>
        <v>-801</v>
      </c>
      <c r="AM47" s="423">
        <v>-223</v>
      </c>
      <c r="AN47" s="423">
        <f>231-0</f>
        <v>231</v>
      </c>
      <c r="AO47" s="423">
        <f>-328</f>
        <v>-328</v>
      </c>
      <c r="AP47" s="423">
        <v>-287</v>
      </c>
      <c r="AQ47" s="481">
        <f>+AM47+AN47+AO47+AP47</f>
        <v>-607</v>
      </c>
      <c r="AR47" s="189">
        <v>-135</v>
      </c>
      <c r="AS47" s="189">
        <v>194</v>
      </c>
      <c r="AT47" s="189">
        <f>209</f>
        <v>209</v>
      </c>
      <c r="AU47" s="189">
        <f>-261</f>
        <v>-261</v>
      </c>
      <c r="AV47" s="481">
        <f>+AR47+AS47+AT47+AU47</f>
        <v>7</v>
      </c>
      <c r="AW47" s="189">
        <f>-244</f>
        <v>-244</v>
      </c>
      <c r="AX47" s="189">
        <f>-80</f>
        <v>-80</v>
      </c>
      <c r="AY47" s="189">
        <f>-451</f>
        <v>-451</v>
      </c>
      <c r="AZ47" s="189">
        <f>202</f>
        <v>202</v>
      </c>
      <c r="BA47" s="481">
        <f>+AW47+AX47+AY47+AZ47</f>
        <v>-573</v>
      </c>
      <c r="BB47" s="189">
        <f>-710</f>
        <v>-710</v>
      </c>
      <c r="BC47" s="189">
        <f>-1710</f>
        <v>-1710</v>
      </c>
      <c r="BD47" s="189">
        <f>-1076</f>
        <v>-1076</v>
      </c>
      <c r="BE47" s="189">
        <f>1458</f>
        <v>1458</v>
      </c>
      <c r="BF47" s="481">
        <f>+BB47+BC47+BD47+BE47</f>
        <v>-2038</v>
      </c>
      <c r="BG47" s="189">
        <f>-216</f>
        <v>-216</v>
      </c>
      <c r="BH47" s="189">
        <f>-959</f>
        <v>-959</v>
      </c>
      <c r="BI47" s="189">
        <f>-708</f>
        <v>-708</v>
      </c>
      <c r="BJ47" s="189">
        <f>560</f>
        <v>560</v>
      </c>
      <c r="BK47" s="481">
        <f>+BG47+BH47+BI47+BJ47</f>
        <v>-1323</v>
      </c>
      <c r="BL47" s="189">
        <f>-1399</f>
        <v>-1399</v>
      </c>
      <c r="BM47" s="189">
        <f>-587</f>
        <v>-587</v>
      </c>
      <c r="BN47" s="189">
        <f>605</f>
        <v>605</v>
      </c>
      <c r="BO47" s="189">
        <f>-1777</f>
        <v>-1777</v>
      </c>
      <c r="BP47" s="481">
        <f>+BL47+BM47+BN47+BO47</f>
        <v>-3158</v>
      </c>
      <c r="BQ47" s="189">
        <f>317</f>
        <v>317</v>
      </c>
      <c r="BR47" s="189">
        <f>999</f>
        <v>999</v>
      </c>
      <c r="BS47" s="189">
        <f>-937</f>
        <v>-937</v>
      </c>
      <c r="BT47" s="189">
        <f>-754</f>
        <v>-754</v>
      </c>
      <c r="BU47" s="481">
        <f>+BQ47+BR47+BS47+BT47</f>
        <v>-375</v>
      </c>
      <c r="BV47" s="189">
        <f>BT47</f>
        <v>-754</v>
      </c>
      <c r="BW47" s="189">
        <f t="shared" ref="BW47" si="330">+BV47</f>
        <v>-754</v>
      </c>
      <c r="BX47" s="189">
        <f t="shared" ref="BX47" si="331">+BW47</f>
        <v>-754</v>
      </c>
      <c r="BY47" s="189">
        <f t="shared" ref="BY47" si="332">+BX47</f>
        <v>-754</v>
      </c>
      <c r="BZ47" s="481">
        <f>+BV47+BW47+BX47+BY47</f>
        <v>-3016</v>
      </c>
      <c r="CA47" s="189">
        <f>BY47</f>
        <v>-754</v>
      </c>
      <c r="CB47" s="189">
        <f t="shared" ref="CB47" si="333">+CA47</f>
        <v>-754</v>
      </c>
      <c r="CC47" s="189">
        <f t="shared" ref="CC47" si="334">+CB47</f>
        <v>-754</v>
      </c>
      <c r="CD47" s="189">
        <f t="shared" ref="CD47" si="335">+CC47</f>
        <v>-754</v>
      </c>
      <c r="CE47" s="481">
        <f>+CA47+CB47+CC47+CD47</f>
        <v>-3016</v>
      </c>
    </row>
    <row r="48" spans="2:83" ht="6" customHeight="1">
      <c r="B48" s="407"/>
      <c r="C48" s="407"/>
      <c r="D48" s="189" t="s">
        <v>0</v>
      </c>
      <c r="E48" s="189" t="s">
        <v>0</v>
      </c>
      <c r="F48" s="189" t="s">
        <v>0</v>
      </c>
      <c r="G48" s="189" t="s">
        <v>0</v>
      </c>
      <c r="H48" s="189" t="s">
        <v>0</v>
      </c>
      <c r="I48" s="189" t="s">
        <v>0</v>
      </c>
      <c r="J48" s="189" t="s">
        <v>0</v>
      </c>
      <c r="K48" s="189" t="s">
        <v>0</v>
      </c>
      <c r="L48" s="189" t="s">
        <v>0</v>
      </c>
      <c r="M48" s="189" t="s">
        <v>0</v>
      </c>
      <c r="N48" s="189" t="s">
        <v>0</v>
      </c>
      <c r="O48" s="189" t="s">
        <v>0</v>
      </c>
      <c r="P48" s="189" t="s">
        <v>0</v>
      </c>
      <c r="Q48" s="189" t="s">
        <v>0</v>
      </c>
      <c r="R48" s="423" t="s">
        <v>0</v>
      </c>
      <c r="S48" s="189" t="s">
        <v>0</v>
      </c>
      <c r="T48" s="189" t="s">
        <v>0</v>
      </c>
      <c r="U48" s="189" t="s">
        <v>0</v>
      </c>
      <c r="V48" s="189" t="s">
        <v>0</v>
      </c>
      <c r="W48" s="510" t="s">
        <v>0</v>
      </c>
      <c r="X48" s="189" t="s">
        <v>0</v>
      </c>
      <c r="Y48" s="189" t="s">
        <v>0</v>
      </c>
      <c r="Z48" s="189" t="s">
        <v>0</v>
      </c>
      <c r="AA48" s="189" t="s">
        <v>0</v>
      </c>
      <c r="AB48" s="510" t="s">
        <v>0</v>
      </c>
      <c r="AC48" s="189" t="s">
        <v>0</v>
      </c>
      <c r="AD48" s="189" t="s">
        <v>0</v>
      </c>
      <c r="AE48" s="189" t="s">
        <v>0</v>
      </c>
      <c r="AF48" s="423" t="s">
        <v>0</v>
      </c>
      <c r="AG48" s="510" t="s">
        <v>0</v>
      </c>
      <c r="AH48" s="423" t="s">
        <v>0</v>
      </c>
      <c r="AI48" s="423" t="s">
        <v>0</v>
      </c>
      <c r="AJ48" s="423" t="s">
        <v>0</v>
      </c>
      <c r="AK48" s="423" t="s">
        <v>0</v>
      </c>
      <c r="AL48" s="486" t="s">
        <v>0</v>
      </c>
      <c r="AM48" s="423" t="s">
        <v>0</v>
      </c>
      <c r="AN48" s="423" t="s">
        <v>0</v>
      </c>
      <c r="AO48" s="423" t="s">
        <v>0</v>
      </c>
      <c r="AP48" s="423" t="s">
        <v>0</v>
      </c>
      <c r="AQ48" s="486" t="s">
        <v>0</v>
      </c>
      <c r="AR48" s="189" t="s">
        <v>0</v>
      </c>
      <c r="AS48" s="189" t="s">
        <v>0</v>
      </c>
      <c r="AT48" s="189" t="s">
        <v>0</v>
      </c>
      <c r="AU48" s="189" t="s">
        <v>0</v>
      </c>
      <c r="AV48" s="486" t="s">
        <v>0</v>
      </c>
      <c r="AW48" s="189" t="s">
        <v>0</v>
      </c>
      <c r="AX48" s="189" t="s">
        <v>0</v>
      </c>
      <c r="AY48" s="189" t="s">
        <v>0</v>
      </c>
      <c r="AZ48" s="189" t="s">
        <v>0</v>
      </c>
      <c r="BA48" s="486" t="s">
        <v>0</v>
      </c>
      <c r="BB48" s="189" t="s">
        <v>0</v>
      </c>
      <c r="BC48" s="189" t="s">
        <v>0</v>
      </c>
      <c r="BD48" s="189" t="s">
        <v>0</v>
      </c>
      <c r="BE48" s="189" t="s">
        <v>0</v>
      </c>
      <c r="BF48" s="486" t="s">
        <v>0</v>
      </c>
      <c r="BG48" s="189" t="s">
        <v>0</v>
      </c>
      <c r="BH48" s="189" t="s">
        <v>0</v>
      </c>
      <c r="BI48" s="189" t="s">
        <v>0</v>
      </c>
      <c r="BJ48" s="189" t="s">
        <v>0</v>
      </c>
      <c r="BK48" s="486" t="s">
        <v>0</v>
      </c>
      <c r="BL48" s="189" t="s">
        <v>0</v>
      </c>
      <c r="BM48" s="189" t="s">
        <v>0</v>
      </c>
      <c r="BN48" s="189" t="s">
        <v>0</v>
      </c>
      <c r="BO48" s="189" t="s">
        <v>0</v>
      </c>
      <c r="BP48" s="486" t="s">
        <v>0</v>
      </c>
      <c r="BQ48" s="189" t="s">
        <v>0</v>
      </c>
      <c r="BR48" s="189" t="s">
        <v>0</v>
      </c>
      <c r="BS48" s="189" t="s">
        <v>0</v>
      </c>
      <c r="BT48" s="189" t="s">
        <v>0</v>
      </c>
      <c r="BU48" s="486" t="s">
        <v>0</v>
      </c>
      <c r="BV48" s="189" t="s">
        <v>0</v>
      </c>
      <c r="BW48" s="189" t="s">
        <v>0</v>
      </c>
      <c r="BX48" s="189" t="s">
        <v>0</v>
      </c>
      <c r="BY48" s="189" t="s">
        <v>0</v>
      </c>
      <c r="BZ48" s="486" t="s">
        <v>0</v>
      </c>
      <c r="CA48" s="189" t="s">
        <v>0</v>
      </c>
      <c r="CB48" s="189" t="s">
        <v>0</v>
      </c>
      <c r="CC48" s="189" t="s">
        <v>0</v>
      </c>
      <c r="CD48" s="189" t="s">
        <v>0</v>
      </c>
      <c r="CE48" s="486" t="s">
        <v>0</v>
      </c>
    </row>
    <row r="49" spans="2:83" ht="12.6" customHeight="1">
      <c r="B49" s="407" t="s">
        <v>10</v>
      </c>
      <c r="C49" s="407"/>
      <c r="D49" s="216">
        <f>+D47+D41+D46+D45</f>
        <v>469</v>
      </c>
      <c r="E49" s="216">
        <f t="shared" ref="E49:AL49" si="336">+E47+E41+E46+E45</f>
        <v>525</v>
      </c>
      <c r="F49" s="216">
        <f t="shared" si="336"/>
        <v>2771</v>
      </c>
      <c r="G49" s="216">
        <f t="shared" si="336"/>
        <v>2326.0000000000036</v>
      </c>
      <c r="H49" s="216">
        <f t="shared" si="336"/>
        <v>6091.0000000000036</v>
      </c>
      <c r="I49" s="216">
        <f t="shared" si="336"/>
        <v>416</v>
      </c>
      <c r="J49" s="216">
        <f t="shared" si="336"/>
        <v>2203</v>
      </c>
      <c r="K49" s="216">
        <f t="shared" si="336"/>
        <v>3140</v>
      </c>
      <c r="L49" s="216">
        <f t="shared" si="336"/>
        <v>1871.0000000000036</v>
      </c>
      <c r="M49" s="216">
        <f t="shared" si="336"/>
        <v>7630.0000000000036</v>
      </c>
      <c r="N49" s="216">
        <f t="shared" si="336"/>
        <v>1868</v>
      </c>
      <c r="O49" s="216">
        <f t="shared" si="336"/>
        <v>4360</v>
      </c>
      <c r="P49" s="216">
        <f t="shared" si="336"/>
        <v>5985</v>
      </c>
      <c r="Q49" s="216">
        <f t="shared" si="336"/>
        <v>7092</v>
      </c>
      <c r="R49" s="427">
        <f t="shared" si="336"/>
        <v>19305</v>
      </c>
      <c r="S49" s="216">
        <f t="shared" si="336"/>
        <v>8718</v>
      </c>
      <c r="T49" s="216">
        <f t="shared" si="336"/>
        <v>9822</v>
      </c>
      <c r="U49" s="216">
        <f t="shared" si="336"/>
        <v>11145</v>
      </c>
      <c r="V49" s="216">
        <f t="shared" si="336"/>
        <v>12329</v>
      </c>
      <c r="W49" s="505">
        <f t="shared" si="336"/>
        <v>42014</v>
      </c>
      <c r="X49" s="216">
        <f t="shared" si="336"/>
        <v>12462</v>
      </c>
      <c r="Y49" s="216">
        <f t="shared" si="336"/>
        <v>11790</v>
      </c>
      <c r="Z49" s="216">
        <f t="shared" si="336"/>
        <v>13320</v>
      </c>
      <c r="AA49" s="216">
        <f t="shared" si="336"/>
        <v>13722</v>
      </c>
      <c r="AB49" s="505">
        <f t="shared" si="336"/>
        <v>51294</v>
      </c>
      <c r="AC49" s="216">
        <f t="shared" si="336"/>
        <v>12441</v>
      </c>
      <c r="AD49" s="216">
        <f t="shared" si="336"/>
        <v>15816</v>
      </c>
      <c r="AE49" s="216">
        <f t="shared" si="336"/>
        <v>19349</v>
      </c>
      <c r="AF49" s="427">
        <f t="shared" si="336"/>
        <v>19287</v>
      </c>
      <c r="AG49" s="505">
        <f t="shared" si="336"/>
        <v>66893</v>
      </c>
      <c r="AH49" s="427">
        <f t="shared" si="336"/>
        <v>19428</v>
      </c>
      <c r="AI49" s="427">
        <f t="shared" si="336"/>
        <v>21251</v>
      </c>
      <c r="AJ49" s="427">
        <f t="shared" si="336"/>
        <v>26868</v>
      </c>
      <c r="AK49" s="427">
        <f t="shared" si="336"/>
        <v>24686</v>
      </c>
      <c r="AL49" s="481">
        <f t="shared" si="336"/>
        <v>92233</v>
      </c>
      <c r="AM49" s="427">
        <f t="shared" ref="AM49:AQ49" si="337">+AM47+AM41+AM46+AM45</f>
        <v>25996</v>
      </c>
      <c r="AN49" s="427">
        <f t="shared" si="337"/>
        <v>29423</v>
      </c>
      <c r="AO49" s="427">
        <f t="shared" si="337"/>
        <v>34238</v>
      </c>
      <c r="AP49" s="427">
        <f t="shared" si="337"/>
        <v>32551</v>
      </c>
      <c r="AQ49" s="481">
        <f t="shared" si="337"/>
        <v>122208</v>
      </c>
      <c r="AR49" s="216">
        <f t="shared" ref="AR49:AV49" si="338">+AR47+AR41+AR46+AR45</f>
        <v>33734</v>
      </c>
      <c r="AS49" s="216">
        <f t="shared" si="338"/>
        <v>38058</v>
      </c>
      <c r="AT49" s="216">
        <f t="shared" si="338"/>
        <v>39727</v>
      </c>
      <c r="AU49" s="216">
        <f t="shared" si="338"/>
        <v>36841</v>
      </c>
      <c r="AV49" s="481">
        <f t="shared" si="338"/>
        <v>148360</v>
      </c>
      <c r="AW49" s="216">
        <f t="shared" ref="AW49:BA49" si="339">+AW47+AW41+AW46+AW45</f>
        <v>37640</v>
      </c>
      <c r="AX49" s="216">
        <f t="shared" si="339"/>
        <v>40048</v>
      </c>
      <c r="AY49" s="216">
        <f t="shared" si="339"/>
        <v>43179</v>
      </c>
      <c r="AZ49" s="216">
        <f t="shared" si="339"/>
        <v>42770</v>
      </c>
      <c r="BA49" s="481">
        <f t="shared" si="339"/>
        <v>163637</v>
      </c>
      <c r="BB49" s="216">
        <f t="shared" ref="BB49:BF49" si="340">+BB47+BB41+BB46+BB45</f>
        <v>46794</v>
      </c>
      <c r="BC49" s="216">
        <f t="shared" si="340"/>
        <v>46416</v>
      </c>
      <c r="BD49" s="216">
        <f t="shared" si="340"/>
        <v>48475</v>
      </c>
      <c r="BE49" s="216">
        <f t="shared" si="340"/>
        <v>51109</v>
      </c>
      <c r="BF49" s="481">
        <f t="shared" si="340"/>
        <v>192794</v>
      </c>
      <c r="BG49" s="216">
        <f t="shared" ref="BG49:BK49" si="341">+BG47+BG41+BG46+BG45</f>
        <v>54164</v>
      </c>
      <c r="BH49" s="216">
        <f t="shared" si="341"/>
        <v>62454</v>
      </c>
      <c r="BI49" s="216">
        <f t="shared" si="341"/>
        <v>67317</v>
      </c>
      <c r="BJ49" s="216">
        <f t="shared" si="341"/>
        <v>66882</v>
      </c>
      <c r="BK49" s="481">
        <f t="shared" si="341"/>
        <v>250817</v>
      </c>
      <c r="BL49" s="216">
        <f t="shared" ref="BL49:BP49" si="342">+BL47+BL41+BL46+BL45</f>
        <v>69288</v>
      </c>
      <c r="BM49" s="216">
        <f t="shared" si="342"/>
        <v>72041</v>
      </c>
      <c r="BN49" s="216">
        <f t="shared" si="342"/>
        <v>73381</v>
      </c>
      <c r="BO49" s="216">
        <f t="shared" si="342"/>
        <v>75148</v>
      </c>
      <c r="BP49" s="481">
        <f t="shared" si="342"/>
        <v>289858</v>
      </c>
      <c r="BQ49" s="216">
        <f t="shared" ref="BQ49:BU49" si="343">+BQ47+BQ41+BQ46+BQ45</f>
        <v>77767</v>
      </c>
      <c r="BR49" s="216">
        <f t="shared" si="343"/>
        <v>77498</v>
      </c>
      <c r="BS49" s="216">
        <f t="shared" si="343"/>
        <v>85368</v>
      </c>
      <c r="BT49" s="216">
        <f t="shared" si="343"/>
        <v>85718</v>
      </c>
      <c r="BU49" s="481">
        <f t="shared" si="343"/>
        <v>326351</v>
      </c>
      <c r="BV49" s="216">
        <f t="shared" ref="BV49:BZ49" si="344">+BV47+BV41+BV46+BV45</f>
        <v>80533.758600000001</v>
      </c>
      <c r="BW49" s="216">
        <f t="shared" si="344"/>
        <v>79596.496300000028</v>
      </c>
      <c r="BX49" s="216">
        <f t="shared" si="344"/>
        <v>81746.72108399999</v>
      </c>
      <c r="BY49" s="216">
        <f t="shared" si="344"/>
        <v>81632.543073500012</v>
      </c>
      <c r="BZ49" s="481">
        <f t="shared" si="344"/>
        <v>323509.51905750006</v>
      </c>
      <c r="CA49" s="216">
        <f t="shared" ref="CA49:CE49" si="345">+CA47+CA41+CA46+CA45</f>
        <v>83791.202337832015</v>
      </c>
      <c r="CB49" s="216">
        <f t="shared" si="345"/>
        <v>85507.150217560964</v>
      </c>
      <c r="CC49" s="216">
        <f t="shared" si="345"/>
        <v>88852.407186035271</v>
      </c>
      <c r="CD49" s="216">
        <f t="shared" si="345"/>
        <v>93052.933732866863</v>
      </c>
      <c r="CE49" s="481">
        <f t="shared" si="345"/>
        <v>351203.69347429508</v>
      </c>
    </row>
    <row r="50" spans="2:83" ht="12.6" customHeight="1">
      <c r="B50" s="420" t="s">
        <v>11</v>
      </c>
      <c r="C50" s="421"/>
      <c r="D50" s="191">
        <f t="shared" ref="D50:AI50" si="346">+D49/D9</f>
        <v>2.2132037185597659E-2</v>
      </c>
      <c r="E50" s="191">
        <f t="shared" si="346"/>
        <v>2.365930599369085E-2</v>
      </c>
      <c r="F50" s="191">
        <f t="shared" si="346"/>
        <v>0.11850996493028826</v>
      </c>
      <c r="G50" s="191">
        <f t="shared" si="346"/>
        <v>9.4334266131321884E-2</v>
      </c>
      <c r="H50" s="191">
        <f t="shared" si="346"/>
        <v>6.6626558739881908E-2</v>
      </c>
      <c r="I50" s="191">
        <f t="shared" si="346"/>
        <v>1.6718241369609775E-2</v>
      </c>
      <c r="J50" s="191">
        <f t="shared" si="346"/>
        <v>8.3792932942832146E-2</v>
      </c>
      <c r="K50" s="191">
        <f t="shared" si="346"/>
        <v>0.11315723089120329</v>
      </c>
      <c r="L50" s="191">
        <f t="shared" si="346"/>
        <v>6.4430593339991141E-2</v>
      </c>
      <c r="M50" s="191">
        <f t="shared" si="346"/>
        <v>7.0673014579203816E-2</v>
      </c>
      <c r="N50" s="191">
        <f t="shared" si="346"/>
        <v>6.1536434312821187E-2</v>
      </c>
      <c r="O50" s="191">
        <f t="shared" si="346"/>
        <v>0.13497616246672034</v>
      </c>
      <c r="P50" s="191">
        <f t="shared" si="346"/>
        <v>0.17424595318504715</v>
      </c>
      <c r="Q50" s="191">
        <f t="shared" si="346"/>
        <v>0.19391354277745879</v>
      </c>
      <c r="R50" s="437">
        <f t="shared" si="346"/>
        <v>0.14452121965278975</v>
      </c>
      <c r="S50" s="191">
        <f t="shared" si="346"/>
        <v>0.23252340436881552</v>
      </c>
      <c r="T50" s="191">
        <f t="shared" si="346"/>
        <v>0.24630739524036413</v>
      </c>
      <c r="U50" s="191">
        <f t="shared" si="346"/>
        <v>0.26242671124820455</v>
      </c>
      <c r="V50" s="191">
        <f t="shared" si="346"/>
        <v>0.27739903251209358</v>
      </c>
      <c r="W50" s="512">
        <f t="shared" si="346"/>
        <v>0.25574005989627718</v>
      </c>
      <c r="X50" s="191">
        <f t="shared" si="346"/>
        <v>0.26946030098598861</v>
      </c>
      <c r="Y50" s="191">
        <f t="shared" si="346"/>
        <v>0.24326331861511163</v>
      </c>
      <c r="Z50" s="191">
        <f t="shared" si="346"/>
        <v>0.26124306195696945</v>
      </c>
      <c r="AA50" s="191">
        <f t="shared" si="346"/>
        <v>0.26275275735294118</v>
      </c>
      <c r="AB50" s="512">
        <f t="shared" si="346"/>
        <v>0.25915877226222056</v>
      </c>
      <c r="AC50" s="191">
        <f t="shared" si="346"/>
        <v>0.23420116338171346</v>
      </c>
      <c r="AD50" s="191">
        <f t="shared" si="346"/>
        <v>0.28599327329933816</v>
      </c>
      <c r="AE50" s="191">
        <f t="shared" si="346"/>
        <v>0.32524794083039166</v>
      </c>
      <c r="AF50" s="437">
        <f t="shared" si="346"/>
        <v>0.30655646507192241</v>
      </c>
      <c r="AG50" s="512">
        <f t="shared" si="346"/>
        <v>0.28979586531963192</v>
      </c>
      <c r="AH50" s="437">
        <f t="shared" si="346"/>
        <v>0.29945436049200036</v>
      </c>
      <c r="AI50" s="437">
        <f t="shared" si="346"/>
        <v>0.31181312634806979</v>
      </c>
      <c r="AJ50" s="437">
        <f t="shared" ref="AJ50:BA50" si="347">+AJ49/AJ9</f>
        <v>0.37494766809009461</v>
      </c>
      <c r="AK50" s="437">
        <f t="shared" si="347"/>
        <v>0.33269541778975742</v>
      </c>
      <c r="AL50" s="488">
        <f t="shared" si="347"/>
        <v>0.33071580449569543</v>
      </c>
      <c r="AM50" s="437">
        <f t="shared" si="347"/>
        <v>0.34503537156736525</v>
      </c>
      <c r="AN50" s="437">
        <f t="shared" si="347"/>
        <v>0.37277806636344057</v>
      </c>
      <c r="AO50" s="437">
        <f t="shared" si="347"/>
        <v>0.41414764548632532</v>
      </c>
      <c r="AP50" s="437">
        <f t="shared" si="347"/>
        <v>0.38447273929887554</v>
      </c>
      <c r="AQ50" s="488">
        <f t="shared" si="347"/>
        <v>0.37999172903574863</v>
      </c>
      <c r="AR50" s="191">
        <f t="shared" si="347"/>
        <v>0.39105989821823955</v>
      </c>
      <c r="AS50" s="191">
        <f t="shared" si="347"/>
        <v>0.42843633907463696</v>
      </c>
      <c r="AT50" s="191">
        <f t="shared" si="347"/>
        <v>0.42685534388464474</v>
      </c>
      <c r="AU50" s="191">
        <f t="shared" si="347"/>
        <v>0.38861404415565237</v>
      </c>
      <c r="AV50" s="488">
        <f t="shared" si="347"/>
        <v>0.40874689706664313</v>
      </c>
      <c r="AW50" s="191">
        <f t="shared" si="347"/>
        <v>0.38901980238951589</v>
      </c>
      <c r="AX50" s="191">
        <f t="shared" si="347"/>
        <v>0.4016769974524082</v>
      </c>
      <c r="AY50" s="191">
        <f t="shared" si="347"/>
        <v>0.4114872205386243</v>
      </c>
      <c r="AZ50" s="191">
        <f t="shared" si="347"/>
        <v>0.38959737657132448</v>
      </c>
      <c r="BA50" s="488">
        <f t="shared" si="347"/>
        <v>0.39797700232506106</v>
      </c>
      <c r="BB50" s="191">
        <f t="shared" ref="BB50:BF50" si="348">+BB49/BB9</f>
        <v>0.41257273849409276</v>
      </c>
      <c r="BC50" s="191">
        <f t="shared" si="348"/>
        <v>0.38714520447398931</v>
      </c>
      <c r="BD50" s="191">
        <f t="shared" si="348"/>
        <v>0.38606732982375103</v>
      </c>
      <c r="BE50" s="191">
        <f t="shared" si="348"/>
        <v>0.39059526629932212</v>
      </c>
      <c r="BF50" s="488">
        <f t="shared" si="348"/>
        <v>0.39367969239753903</v>
      </c>
      <c r="BG50" s="191">
        <f t="shared" ref="BG50:BK50" si="349">+BG49/BG9</f>
        <v>0.41446859958831678</v>
      </c>
      <c r="BH50" s="191">
        <f t="shared" si="349"/>
        <v>0.45517422326523771</v>
      </c>
      <c r="BI50" s="191">
        <f t="shared" si="349"/>
        <v>0.47407673455590299</v>
      </c>
      <c r="BJ50" s="191">
        <f t="shared" si="349"/>
        <v>0.46262710105831084</v>
      </c>
      <c r="BK50" s="488">
        <f t="shared" si="349"/>
        <v>0.45236429089308838</v>
      </c>
      <c r="BL50" s="191">
        <f t="shared" ref="BL50:BP50" si="350">+BL49/BL9</f>
        <v>0.47521004080792839</v>
      </c>
      <c r="BM50" s="191">
        <f t="shared" si="350"/>
        <v>0.48444602845845552</v>
      </c>
      <c r="BN50" s="191">
        <f t="shared" si="350"/>
        <v>0.47691187844047134</v>
      </c>
      <c r="BO50" s="191">
        <f t="shared" si="350"/>
        <v>0.4720618627937509</v>
      </c>
      <c r="BP50" s="488">
        <f t="shared" si="350"/>
        <v>0.47707675316958842</v>
      </c>
      <c r="BQ50" s="191">
        <f t="shared" ref="BQ50:BU50" si="351">+BQ49/BQ9</f>
        <v>0.48635075891656609</v>
      </c>
      <c r="BR50" s="191">
        <f t="shared" si="351"/>
        <v>0.47237020150918557</v>
      </c>
      <c r="BS50" s="191">
        <f t="shared" si="351"/>
        <v>0.50251350937709705</v>
      </c>
      <c r="BT50" s="191">
        <f t="shared" si="351"/>
        <v>0.4890291073812485</v>
      </c>
      <c r="BU50" s="488">
        <f t="shared" si="351"/>
        <v>0.48772800298897812</v>
      </c>
      <c r="BV50" s="191">
        <f t="shared" ref="BV50:BZ50" si="352">+BV49/BV9</f>
        <v>0.46419716386060866</v>
      </c>
      <c r="BW50" s="191">
        <f t="shared" si="352"/>
        <v>0.44922321766793682</v>
      </c>
      <c r="BX50" s="191">
        <f t="shared" si="352"/>
        <v>0.44762518379515409</v>
      </c>
      <c r="BY50" s="191">
        <f t="shared" si="352"/>
        <v>0.43525345631824053</v>
      </c>
      <c r="BZ50" s="488">
        <f t="shared" si="352"/>
        <v>0.44878754602720156</v>
      </c>
      <c r="CA50" s="191">
        <f t="shared" ref="CA50:CE50" si="353">+CA49/CA9</f>
        <v>0.44719730833028271</v>
      </c>
      <c r="CB50" s="191">
        <f t="shared" si="353"/>
        <v>0.4510107544166535</v>
      </c>
      <c r="CC50" s="191">
        <f t="shared" si="353"/>
        <v>0.45899452313248945</v>
      </c>
      <c r="CD50" s="191">
        <f t="shared" si="353"/>
        <v>0.4680617014826971</v>
      </c>
      <c r="CE50" s="488">
        <f t="shared" si="353"/>
        <v>0.45649696495373882</v>
      </c>
    </row>
    <row r="51" spans="2:83" ht="13.15" hidden="1" outlineLevel="1">
      <c r="B51" s="186"/>
      <c r="C51" s="214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516"/>
      <c r="X51" s="191"/>
      <c r="Y51" s="191"/>
      <c r="Z51" s="191"/>
      <c r="AA51" s="191"/>
      <c r="AB51" s="516"/>
      <c r="AC51" s="191"/>
      <c r="AD51" s="191"/>
      <c r="AE51" s="246"/>
      <c r="AF51" s="246" t="e">
        <f ca="1">_xll.FDS(+$B$1,"FE_ESTIMATE(PTX_INC_ADJ,MEAN,QUARTERLY,"&amp;IS!AF$74&amp;",NOW,,,'')")*1000</f>
        <v>#NAME?</v>
      </c>
      <c r="AG51" s="499" t="e">
        <f ca="1">_xll.FDS(+$B$1,"FE_ESTIMATE(PTX_INC_ADJ,MEAN,ANNUAL,"&amp;IS!AG$74&amp;",NOW,,,'')")*1000</f>
        <v>#NAME?</v>
      </c>
      <c r="AH51" s="246" t="e">
        <f ca="1">_xll.FDS(+$B$1,"FE_ESTIMATE(PTX_INC_ADJ,MEAN,QUARTERLY,"&amp;IS!AH$74&amp;",NOW,,,'')")*1000</f>
        <v>#NAME?</v>
      </c>
      <c r="AI51" s="246" t="e">
        <f ca="1">_xll.FDS(+$B$1,"FE_ESTIMATE(PTX_INC_ADJ,MEAN,QUARTERLY,"&amp;IS!AI$74&amp;",NOW,,,'')")*1000</f>
        <v>#NAME?</v>
      </c>
      <c r="AJ51" s="246" t="e">
        <f ca="1">_xll.FDS(+$B$1,"FE_ESTIMATE(PTX_INC_ADJ,MEAN,QUARTERLY,"&amp;IS!AJ$74&amp;",NOW,,,'')")*1000</f>
        <v>#NAME?</v>
      </c>
      <c r="AK51" s="246" t="e">
        <f ca="1">_xll.FDS(+$B$1,"FE_ESTIMATE(PTX_INC_ADJ,MEAN,QUARTERLY,"&amp;IS!AK$74&amp;",NOW,,,'')")*1000</f>
        <v>#NAME?</v>
      </c>
      <c r="AL51" s="489" t="e">
        <f ca="1">_xll.FDS(+$B$1,"FE_ESTIMATE(PTX_INC_ADJ,MEAN,ANNUAL,"&amp;IS!AL$74&amp;",NOW,,,'')")*1000</f>
        <v>#NAME?</v>
      </c>
      <c r="AM51" s="246"/>
      <c r="AN51" s="246"/>
      <c r="AO51" s="246"/>
      <c r="AP51" s="246"/>
      <c r="AQ51" s="489" t="e">
        <f ca="1">_xll.FDS(+$B$1,"FE_ESTIMATE(PTX_INC_ADJ,MEAN,ANNUAL,"&amp;IS!AQ$74&amp;",NOW,,,'')")*1000</f>
        <v>#NAME?</v>
      </c>
      <c r="AR51" s="246"/>
      <c r="AS51" s="246"/>
      <c r="AT51" s="246"/>
      <c r="AU51" s="246"/>
      <c r="AV51" s="489" t="e">
        <f ca="1">_xll.FDS(+$B$1,"FE_ESTIMATE(PTX_INC_ADJ,MEAN,ANNUAL,"&amp;IS!AV$74&amp;",NOW,,,'')")*1000</f>
        <v>#NAME?</v>
      </c>
      <c r="AW51" s="246"/>
      <c r="AX51" s="246"/>
      <c r="AY51" s="246"/>
      <c r="AZ51" s="246"/>
      <c r="BA51" s="489"/>
      <c r="BB51" s="246"/>
      <c r="BC51" s="246"/>
      <c r="BD51" s="246"/>
      <c r="BE51" s="246"/>
      <c r="BF51" s="489"/>
      <c r="BG51" s="246"/>
      <c r="BH51" s="246"/>
      <c r="BI51" s="246"/>
      <c r="BJ51" s="246"/>
      <c r="BK51" s="489"/>
      <c r="BL51" s="246"/>
      <c r="BM51" s="246"/>
      <c r="BN51" s="246"/>
      <c r="BO51" s="246"/>
      <c r="BP51" s="489"/>
      <c r="BQ51" s="246"/>
      <c r="BR51" s="246"/>
      <c r="BS51" s="246"/>
      <c r="BT51" s="246"/>
      <c r="BU51" s="489"/>
      <c r="BV51" s="246"/>
      <c r="BW51" s="246"/>
      <c r="BX51" s="246"/>
      <c r="BY51" s="246"/>
      <c r="BZ51" s="489"/>
      <c r="CA51" s="246"/>
      <c r="CB51" s="246"/>
      <c r="CC51" s="246"/>
      <c r="CD51" s="246"/>
      <c r="CE51" s="489"/>
    </row>
    <row r="52" spans="2:83" ht="12.6" customHeight="1" collapsed="1">
      <c r="B52" s="421"/>
      <c r="C52" s="421"/>
      <c r="D52" s="189"/>
      <c r="E52" s="216"/>
      <c r="F52" s="216"/>
      <c r="G52" s="216"/>
      <c r="H52" s="216"/>
      <c r="I52" s="189"/>
      <c r="J52" s="216"/>
      <c r="K52" s="216"/>
      <c r="L52" s="216"/>
      <c r="M52" s="216"/>
      <c r="N52" s="189"/>
      <c r="O52" s="216"/>
      <c r="P52" s="216"/>
      <c r="Q52" s="216"/>
      <c r="R52" s="427"/>
      <c r="S52" s="216"/>
      <c r="T52" s="216"/>
      <c r="U52" s="216"/>
      <c r="V52" s="216"/>
      <c r="W52" s="505"/>
      <c r="X52" s="216"/>
      <c r="Y52" s="216"/>
      <c r="Z52" s="216"/>
      <c r="AA52" s="216"/>
      <c r="AB52" s="505"/>
      <c r="AC52" s="216"/>
      <c r="AD52" s="216"/>
      <c r="AE52" s="216"/>
      <c r="AF52" s="427"/>
      <c r="AG52" s="505"/>
      <c r="AH52" s="427"/>
      <c r="AI52" s="427"/>
      <c r="AJ52" s="427"/>
      <c r="AK52" s="427"/>
      <c r="AL52" s="481" t="s">
        <v>370</v>
      </c>
      <c r="AM52" s="456"/>
      <c r="AN52" s="427"/>
      <c r="AO52" s="427"/>
      <c r="AP52" s="427"/>
      <c r="AQ52" s="481"/>
      <c r="AR52" s="216"/>
      <c r="AS52" s="216"/>
      <c r="AT52" s="216"/>
      <c r="AU52" s="216"/>
      <c r="AV52" s="481"/>
      <c r="AW52" s="216"/>
      <c r="AX52" s="216"/>
      <c r="AY52" s="216"/>
      <c r="AZ52" s="216"/>
      <c r="BA52" s="481"/>
      <c r="BB52" s="216"/>
      <c r="BC52" s="216"/>
      <c r="BD52" s="216"/>
      <c r="BE52" s="216"/>
      <c r="BF52" s="481"/>
      <c r="BG52" s="216"/>
      <c r="BH52" s="216"/>
      <c r="BI52" s="216"/>
      <c r="BJ52" s="216"/>
      <c r="BK52" s="481"/>
      <c r="BL52" s="216"/>
      <c r="BM52" s="216"/>
      <c r="BN52" s="216"/>
      <c r="BO52" s="216"/>
      <c r="BP52" s="481"/>
      <c r="BQ52" s="216"/>
      <c r="BR52" s="216"/>
      <c r="BS52" s="216"/>
      <c r="BT52" s="216"/>
      <c r="BU52" s="481"/>
      <c r="BV52" s="216"/>
      <c r="BW52" s="216"/>
      <c r="BX52" s="216"/>
      <c r="BY52" s="216"/>
      <c r="BZ52" s="481"/>
      <c r="CA52" s="216"/>
      <c r="CB52" s="216"/>
      <c r="CC52" s="216"/>
      <c r="CD52" s="216"/>
      <c r="CE52" s="481"/>
    </row>
    <row r="53" spans="2:83" ht="12" customHeight="1">
      <c r="B53" s="407" t="s">
        <v>12</v>
      </c>
      <c r="C53" s="407"/>
      <c r="D53" s="189">
        <v>78</v>
      </c>
      <c r="E53" s="189">
        <v>-78</v>
      </c>
      <c r="F53" s="189">
        <v>77</v>
      </c>
      <c r="G53" s="189">
        <v>281</v>
      </c>
      <c r="H53" s="216">
        <f>D53+E53+F53+G53</f>
        <v>358</v>
      </c>
      <c r="I53" s="189">
        <v>70</v>
      </c>
      <c r="J53" s="189">
        <v>92</v>
      </c>
      <c r="K53" s="189">
        <v>210</v>
      </c>
      <c r="L53" s="189">
        <v>128</v>
      </c>
      <c r="M53" s="216">
        <f>I53+J53+K53+L53</f>
        <v>500</v>
      </c>
      <c r="N53" s="189">
        <v>182</v>
      </c>
      <c r="O53" s="189">
        <v>174</v>
      </c>
      <c r="P53" s="189">
        <v>283</v>
      </c>
      <c r="Q53" s="189">
        <v>1471</v>
      </c>
      <c r="R53" s="427">
        <f>N53+O53+P53+Q53</f>
        <v>2110</v>
      </c>
      <c r="S53" s="189">
        <v>3173</v>
      </c>
      <c r="T53" s="189">
        <v>3576</v>
      </c>
      <c r="U53" s="189">
        <v>4056</v>
      </c>
      <c r="V53" s="189">
        <v>4488</v>
      </c>
      <c r="W53" s="505">
        <f>S53+T53+U53+V53</f>
        <v>15293</v>
      </c>
      <c r="X53" s="189">
        <v>4486.0000000000009</v>
      </c>
      <c r="Y53" s="189">
        <v>4244</v>
      </c>
      <c r="Z53" s="189">
        <v>4796</v>
      </c>
      <c r="AA53" s="189">
        <v>4939.9999999999991</v>
      </c>
      <c r="AB53" s="505">
        <f>X53+Y53+Z53+AA53</f>
        <v>18466</v>
      </c>
      <c r="AC53" s="189">
        <v>4479.0000000000009</v>
      </c>
      <c r="AD53" s="189">
        <f>2167+3527</f>
        <v>5694</v>
      </c>
      <c r="AE53" s="189">
        <f>3068+3898</f>
        <v>6966</v>
      </c>
      <c r="AF53" s="423">
        <f>7524-1250</f>
        <v>6274</v>
      </c>
      <c r="AG53" s="505">
        <f>AC53+AD53+AE53+AF53</f>
        <v>23413</v>
      </c>
      <c r="AH53" s="423">
        <f>509+3959</f>
        <v>4468</v>
      </c>
      <c r="AI53" s="423">
        <f>1486+3402</f>
        <v>4888</v>
      </c>
      <c r="AJ53" s="423">
        <f>+-4236+10417</f>
        <v>6181</v>
      </c>
      <c r="AK53" s="423">
        <f>405+2945</f>
        <v>3350</v>
      </c>
      <c r="AL53" s="481">
        <f>AH53+AI53+AJ53+AK53</f>
        <v>18887</v>
      </c>
      <c r="AM53" s="423">
        <f>2571+3144</f>
        <v>5715</v>
      </c>
      <c r="AN53" s="423">
        <f>2277+4205</f>
        <v>6482</v>
      </c>
      <c r="AO53" s="423">
        <f>5161+2380</f>
        <v>7541</v>
      </c>
      <c r="AP53" s="423">
        <f>638+6366</f>
        <v>7004</v>
      </c>
      <c r="AQ53" s="481">
        <f>AM53+AN53+AO53+AP53</f>
        <v>26742</v>
      </c>
      <c r="AR53" s="189">
        <f>3523+3570</f>
        <v>7093</v>
      </c>
      <c r="AS53" s="189">
        <f>775+6997</f>
        <v>7772</v>
      </c>
      <c r="AT53" s="189">
        <f>4891+3443</f>
        <v>8334</v>
      </c>
      <c r="AU53" s="189">
        <f>1276+6929</f>
        <v>8205</v>
      </c>
      <c r="AV53" s="481">
        <f>AR53+AS53+AT53+AU53</f>
        <v>31404</v>
      </c>
      <c r="AW53" s="189">
        <f>-2435+10313</f>
        <v>7878</v>
      </c>
      <c r="AX53" s="189">
        <f>8707-265</f>
        <v>8442</v>
      </c>
      <c r="AY53" s="189">
        <f>4282+4743</f>
        <v>9025</v>
      </c>
      <c r="AZ53" s="189">
        <f>7883+1136</f>
        <v>9019</v>
      </c>
      <c r="BA53" s="481">
        <f>AW53+AX53+AY53+AZ53</f>
        <v>34364</v>
      </c>
      <c r="BB53" s="189">
        <f>7933+3297</f>
        <v>11230</v>
      </c>
      <c r="BC53" s="189">
        <f>5526+5619</f>
        <v>11145</v>
      </c>
      <c r="BD53" s="189">
        <f>6178+5459</f>
        <v>11637</v>
      </c>
      <c r="BE53" s="189">
        <f>6071+6187</f>
        <v>12258</v>
      </c>
      <c r="BF53" s="481">
        <f>BB53+BC53+BD53+BE53</f>
        <v>46270</v>
      </c>
      <c r="BG53" s="189">
        <f>8254+4736</f>
        <v>12990</v>
      </c>
      <c r="BH53" s="189">
        <f>10295+4704</f>
        <v>14999</v>
      </c>
      <c r="BI53" s="189">
        <f>1508+9129</f>
        <v>10637</v>
      </c>
      <c r="BJ53" s="189">
        <f>6999+7046</f>
        <v>14045</v>
      </c>
      <c r="BK53" s="481">
        <f>BG53+BH53+BI53+BJ53</f>
        <v>52671</v>
      </c>
      <c r="BL53" s="189">
        <f>9754+4796</f>
        <v>14550</v>
      </c>
      <c r="BM53" s="189">
        <f>10412+4717</f>
        <v>15129</v>
      </c>
      <c r="BN53" s="189">
        <f>6111+9299</f>
        <v>15410</v>
      </c>
      <c r="BO53" s="189">
        <f>9865+5916</f>
        <v>15781</v>
      </c>
      <c r="BP53" s="481">
        <f>BL53+BM53+BN53+BO53</f>
        <v>60870</v>
      </c>
      <c r="BQ53" s="189">
        <f>10773+5547</f>
        <v>16320</v>
      </c>
      <c r="BR53" s="189">
        <f>11523+4763</f>
        <v>16286</v>
      </c>
      <c r="BS53" s="189">
        <f>14936+2991</f>
        <v>17927</v>
      </c>
      <c r="BT53" s="189">
        <f>11276+6727</f>
        <v>18003</v>
      </c>
      <c r="BU53" s="481">
        <f>BQ53+BR53+BS53+BT53</f>
        <v>68536</v>
      </c>
      <c r="BV53" s="189">
        <f>+BV49*0.2</f>
        <v>16106.75172</v>
      </c>
      <c r="BW53" s="189">
        <f t="shared" ref="BW53:BY53" si="354">+BW49*0.2</f>
        <v>15919.299260000007</v>
      </c>
      <c r="BX53" s="189">
        <f t="shared" si="354"/>
        <v>16349.344216799998</v>
      </c>
      <c r="BY53" s="189">
        <f t="shared" si="354"/>
        <v>16326.508614700004</v>
      </c>
      <c r="BZ53" s="481">
        <f>BV53+BW53+BX53+BY53</f>
        <v>64701.903811500008</v>
      </c>
      <c r="CA53" s="189">
        <f>+CA49*0.2</f>
        <v>16758.240467566404</v>
      </c>
      <c r="CB53" s="189">
        <f t="shared" ref="CB53:CD53" si="355">+CB49*0.2</f>
        <v>17101.430043512195</v>
      </c>
      <c r="CC53" s="189">
        <f t="shared" si="355"/>
        <v>17770.481437207054</v>
      </c>
      <c r="CD53" s="189">
        <f t="shared" si="355"/>
        <v>18610.586746573372</v>
      </c>
      <c r="CE53" s="481">
        <f>CA53+CB53+CC53+CD53</f>
        <v>70240.738694859028</v>
      </c>
    </row>
    <row r="54" spans="2:83" ht="12.6" customHeight="1">
      <c r="B54" s="420" t="s">
        <v>13</v>
      </c>
      <c r="C54" s="429"/>
      <c r="D54" s="187">
        <f t="shared" ref="D54:H54" si="356">+D53/D49</f>
        <v>0.16631130063965885</v>
      </c>
      <c r="E54" s="187">
        <f t="shared" si="356"/>
        <v>-0.14857142857142858</v>
      </c>
      <c r="F54" s="187">
        <f t="shared" si="356"/>
        <v>2.77878022374594E-2</v>
      </c>
      <c r="G54" s="187">
        <f t="shared" si="356"/>
        <v>0.12080825451418725</v>
      </c>
      <c r="H54" s="187">
        <f t="shared" si="356"/>
        <v>5.8775242160564733E-2</v>
      </c>
      <c r="I54" s="187">
        <f t="shared" ref="I54:M54" si="357">+I53/I49</f>
        <v>0.16826923076923078</v>
      </c>
      <c r="J54" s="187">
        <f t="shared" si="357"/>
        <v>4.1761234679981843E-2</v>
      </c>
      <c r="K54" s="187">
        <f t="shared" si="357"/>
        <v>6.6878980891719744E-2</v>
      </c>
      <c r="L54" s="187">
        <f t="shared" si="357"/>
        <v>6.8412613575627876E-2</v>
      </c>
      <c r="M54" s="187">
        <f t="shared" si="357"/>
        <v>6.5530799475753576E-2</v>
      </c>
      <c r="N54" s="187">
        <f t="shared" ref="N54:Y54" si="358">+N53/N49</f>
        <v>9.7430406852248394E-2</v>
      </c>
      <c r="O54" s="187">
        <f t="shared" si="358"/>
        <v>3.9908256880733947E-2</v>
      </c>
      <c r="P54" s="187">
        <f t="shared" si="358"/>
        <v>4.7284878863826235E-2</v>
      </c>
      <c r="Q54" s="187">
        <f t="shared" si="358"/>
        <v>0.20741680767061477</v>
      </c>
      <c r="R54" s="432">
        <f t="shared" si="358"/>
        <v>0.10929810929810929</v>
      </c>
      <c r="S54" s="223">
        <f t="shared" si="358"/>
        <v>0.36395962376691904</v>
      </c>
      <c r="T54" s="223">
        <f t="shared" si="358"/>
        <v>0.36408063530849116</v>
      </c>
      <c r="U54" s="223">
        <f t="shared" si="358"/>
        <v>0.36393001345895021</v>
      </c>
      <c r="V54" s="223">
        <f t="shared" si="358"/>
        <v>0.36401979073728608</v>
      </c>
      <c r="W54" s="508">
        <f t="shared" si="358"/>
        <v>0.36399771504736517</v>
      </c>
      <c r="X54" s="223">
        <f t="shared" si="358"/>
        <v>0.35997432193869372</v>
      </c>
      <c r="Y54" s="223">
        <f t="shared" si="358"/>
        <v>0.35996607294317218</v>
      </c>
      <c r="Z54" s="223">
        <f>+Z53/Z49</f>
        <v>0.36006006006006008</v>
      </c>
      <c r="AA54" s="223">
        <f>+AA53/AA49</f>
        <v>0.36000583005392794</v>
      </c>
      <c r="AB54" s="508">
        <f>+AB53/AB49</f>
        <v>0.36000311927320933</v>
      </c>
      <c r="AC54" s="187">
        <f t="shared" ref="AC54:AF54" si="359">+AC53/AC49</f>
        <v>0.36001929105377389</v>
      </c>
      <c r="AD54" s="187">
        <f t="shared" si="359"/>
        <v>0.36001517450682852</v>
      </c>
      <c r="AE54" s="187">
        <f t="shared" si="359"/>
        <v>0.36001860561269317</v>
      </c>
      <c r="AF54" s="432">
        <f t="shared" si="359"/>
        <v>0.32529683206304766</v>
      </c>
      <c r="AG54" s="508">
        <f>+AG53/AG49</f>
        <v>0.35000672716128745</v>
      </c>
      <c r="AH54" s="432">
        <f t="shared" ref="AH54" si="360">+AH53/AH49</f>
        <v>0.22997735227506691</v>
      </c>
      <c r="AI54" s="432">
        <f t="shared" ref="AI54" si="361">+AI53/AI49</f>
        <v>0.23001270528445719</v>
      </c>
      <c r="AJ54" s="432">
        <f t="shared" ref="AJ54" si="362">+AJ53/AJ49</f>
        <v>0.23005061783534317</v>
      </c>
      <c r="AK54" s="432">
        <f t="shared" ref="AK54" si="363">+AK53/AK49</f>
        <v>0.13570444786518673</v>
      </c>
      <c r="AL54" s="484">
        <f>+AL53/AL49</f>
        <v>0.20477486366051195</v>
      </c>
      <c r="AM54" s="432">
        <f t="shared" ref="AM54:AP54" si="364">+AM53/AM49</f>
        <v>0.21984151407908908</v>
      </c>
      <c r="AN54" s="432">
        <f t="shared" si="364"/>
        <v>0.22030384393161812</v>
      </c>
      <c r="AO54" s="432">
        <f t="shared" si="364"/>
        <v>0.22025235118873765</v>
      </c>
      <c r="AP54" s="432">
        <f t="shared" si="364"/>
        <v>0.2151700408589598</v>
      </c>
      <c r="AQ54" s="484">
        <f>+AQ53/AQ49</f>
        <v>0.21882364493322859</v>
      </c>
      <c r="AR54" s="187">
        <f t="shared" ref="AR54:AU54" si="365">+AR53/AR49</f>
        <v>0.21026264303077014</v>
      </c>
      <c r="AS54" s="187">
        <f t="shared" si="365"/>
        <v>0.20421461979084554</v>
      </c>
      <c r="AT54" s="187">
        <f t="shared" si="365"/>
        <v>0.20978176051551842</v>
      </c>
      <c r="AU54" s="187">
        <f t="shared" si="365"/>
        <v>0.222713824271871</v>
      </c>
      <c r="AV54" s="484">
        <f>+AV53/AV49</f>
        <v>0.21167430574278781</v>
      </c>
      <c r="AW54" s="187">
        <f t="shared" ref="AW54:AZ54" si="366">+AW53/AW49</f>
        <v>0.20929861849096706</v>
      </c>
      <c r="AX54" s="187">
        <f t="shared" si="366"/>
        <v>0.2107970435477427</v>
      </c>
      <c r="AY54" s="187">
        <f t="shared" si="366"/>
        <v>0.20901364089024757</v>
      </c>
      <c r="AZ54" s="187">
        <f t="shared" si="366"/>
        <v>0.21087210661678746</v>
      </c>
      <c r="BA54" s="484">
        <f>+BA53/BA49</f>
        <v>0.21000140555008953</v>
      </c>
      <c r="BB54" s="187">
        <f t="shared" ref="BB54:BE54" si="367">+BB53/BB49</f>
        <v>0.23998803265375904</v>
      </c>
      <c r="BC54" s="187">
        <f t="shared" si="367"/>
        <v>0.24011116856256462</v>
      </c>
      <c r="BD54" s="187">
        <f t="shared" si="367"/>
        <v>0.24006188757091285</v>
      </c>
      <c r="BE54" s="187">
        <f t="shared" si="367"/>
        <v>0.23984034123148565</v>
      </c>
      <c r="BF54" s="484">
        <f>+BF53/BF49</f>
        <v>0.23999709534529082</v>
      </c>
      <c r="BG54" s="187">
        <f t="shared" ref="BG54:BJ54" si="368">+BG53/BG49</f>
        <v>0.23982719149250425</v>
      </c>
      <c r="BH54" s="187">
        <f t="shared" si="368"/>
        <v>0.24016075831812214</v>
      </c>
      <c r="BI54" s="187">
        <f t="shared" si="368"/>
        <v>0.1580135775509901</v>
      </c>
      <c r="BJ54" s="187">
        <f t="shared" si="368"/>
        <v>0.20999671062468228</v>
      </c>
      <c r="BK54" s="484">
        <f>+BK53/BK49</f>
        <v>0.20999772742676931</v>
      </c>
      <c r="BL54" s="187">
        <f t="shared" ref="BL54:BO54" si="369">+BL53/BL49</f>
        <v>0.20999307239348805</v>
      </c>
      <c r="BM54" s="187">
        <f t="shared" si="369"/>
        <v>0.21000541358393138</v>
      </c>
      <c r="BN54" s="187">
        <f t="shared" si="369"/>
        <v>0.20999986372494242</v>
      </c>
      <c r="BO54" s="187">
        <f t="shared" si="369"/>
        <v>0.20999893543407674</v>
      </c>
      <c r="BP54" s="484">
        <f>+BP53/BP49</f>
        <v>0.20999937900627202</v>
      </c>
      <c r="BQ54" s="187">
        <f t="shared" ref="BQ54:BT54" si="370">+BQ53/BQ49</f>
        <v>0.20985765170316459</v>
      </c>
      <c r="BR54" s="187">
        <f t="shared" si="370"/>
        <v>0.21014735864151332</v>
      </c>
      <c r="BS54" s="187">
        <f t="shared" si="370"/>
        <v>0.2099967200824665</v>
      </c>
      <c r="BT54" s="187">
        <f t="shared" si="370"/>
        <v>0.21002589887771531</v>
      </c>
      <c r="BU54" s="484">
        <f>+BU53/BU49</f>
        <v>0.21000701698478019</v>
      </c>
      <c r="BV54" s="187">
        <f t="shared" ref="BV54:BY54" si="371">+BV53/BV49</f>
        <v>0.2</v>
      </c>
      <c r="BW54" s="187">
        <f t="shared" si="371"/>
        <v>0.2</v>
      </c>
      <c r="BX54" s="187">
        <f t="shared" si="371"/>
        <v>0.2</v>
      </c>
      <c r="BY54" s="187">
        <f t="shared" si="371"/>
        <v>0.2</v>
      </c>
      <c r="BZ54" s="484">
        <f>+BZ53/BZ49</f>
        <v>0.19999999999999998</v>
      </c>
      <c r="CA54" s="187">
        <f t="shared" ref="CA54:CD54" si="372">+CA53/CA49</f>
        <v>0.2</v>
      </c>
      <c r="CB54" s="187">
        <f t="shared" si="372"/>
        <v>0.20000000000000004</v>
      </c>
      <c r="CC54" s="187">
        <f t="shared" si="372"/>
        <v>0.2</v>
      </c>
      <c r="CD54" s="187">
        <f t="shared" si="372"/>
        <v>0.19999999999999998</v>
      </c>
      <c r="CE54" s="484">
        <f>+CE53/CE49</f>
        <v>0.20000000000000004</v>
      </c>
    </row>
    <row r="55" spans="2:83" ht="12.6" customHeight="1">
      <c r="B55" s="407"/>
      <c r="C55" s="407"/>
      <c r="D55" s="189" t="s">
        <v>0</v>
      </c>
      <c r="E55" s="189" t="s">
        <v>0</v>
      </c>
      <c r="F55" s="189" t="s">
        <v>0</v>
      </c>
      <c r="G55" s="189" t="s">
        <v>0</v>
      </c>
      <c r="H55" s="189" t="s">
        <v>0</v>
      </c>
      <c r="I55" s="189" t="s">
        <v>0</v>
      </c>
      <c r="J55" s="189" t="s">
        <v>0</v>
      </c>
      <c r="K55" s="189" t="s">
        <v>0</v>
      </c>
      <c r="L55" s="189" t="s">
        <v>0</v>
      </c>
      <c r="M55" s="189" t="s">
        <v>0</v>
      </c>
      <c r="N55" s="189" t="s">
        <v>0</v>
      </c>
      <c r="O55" s="189" t="s">
        <v>0</v>
      </c>
      <c r="P55" s="189" t="s">
        <v>0</v>
      </c>
      <c r="Q55" s="189" t="s">
        <v>0</v>
      </c>
      <c r="R55" s="423" t="s">
        <v>0</v>
      </c>
      <c r="S55" s="189" t="s">
        <v>0</v>
      </c>
      <c r="T55" s="189" t="s">
        <v>0</v>
      </c>
      <c r="U55" s="189" t="s">
        <v>0</v>
      </c>
      <c r="V55" s="189" t="s">
        <v>0</v>
      </c>
      <c r="W55" s="510" t="s">
        <v>0</v>
      </c>
      <c r="X55" s="189" t="s">
        <v>0</v>
      </c>
      <c r="Y55" s="189" t="s">
        <v>0</v>
      </c>
      <c r="Z55" s="189" t="s">
        <v>0</v>
      </c>
      <c r="AA55" s="189" t="s">
        <v>0</v>
      </c>
      <c r="AB55" s="510" t="s">
        <v>0</v>
      </c>
      <c r="AC55" s="189" t="s">
        <v>0</v>
      </c>
      <c r="AD55" s="189" t="s">
        <v>0</v>
      </c>
      <c r="AE55" s="189" t="s">
        <v>0</v>
      </c>
      <c r="AF55" s="423" t="s">
        <v>0</v>
      </c>
      <c r="AG55" s="510" t="s">
        <v>0</v>
      </c>
      <c r="AH55" s="423" t="s">
        <v>0</v>
      </c>
      <c r="AI55" s="423" t="s">
        <v>0</v>
      </c>
      <c r="AJ55" s="423" t="s">
        <v>0</v>
      </c>
      <c r="AK55" s="423" t="s">
        <v>0</v>
      </c>
      <c r="AL55" s="486" t="s">
        <v>0</v>
      </c>
      <c r="AM55" s="423" t="s">
        <v>0</v>
      </c>
      <c r="AN55" s="423" t="s">
        <v>0</v>
      </c>
      <c r="AO55" s="423" t="s">
        <v>0</v>
      </c>
      <c r="AP55" s="423" t="s">
        <v>0</v>
      </c>
      <c r="AQ55" s="486" t="s">
        <v>0</v>
      </c>
      <c r="AR55" s="189" t="s">
        <v>0</v>
      </c>
      <c r="AS55" s="189" t="s">
        <v>0</v>
      </c>
      <c r="AT55" s="189" t="s">
        <v>0</v>
      </c>
      <c r="AU55" s="189" t="s">
        <v>0</v>
      </c>
      <c r="AV55" s="486" t="s">
        <v>0</v>
      </c>
      <c r="AW55" s="189" t="s">
        <v>0</v>
      </c>
      <c r="AX55" s="189" t="s">
        <v>0</v>
      </c>
      <c r="AY55" s="189" t="s">
        <v>0</v>
      </c>
      <c r="AZ55" s="189" t="s">
        <v>0</v>
      </c>
      <c r="BA55" s="486" t="s">
        <v>0</v>
      </c>
      <c r="BB55" s="189" t="s">
        <v>0</v>
      </c>
      <c r="BC55" s="189" t="s">
        <v>0</v>
      </c>
      <c r="BD55" s="189" t="s">
        <v>0</v>
      </c>
      <c r="BE55" s="189" t="s">
        <v>0</v>
      </c>
      <c r="BF55" s="486" t="s">
        <v>0</v>
      </c>
      <c r="BG55" s="189" t="s">
        <v>0</v>
      </c>
      <c r="BH55" s="189" t="s">
        <v>0</v>
      </c>
      <c r="BI55" s="189" t="s">
        <v>0</v>
      </c>
      <c r="BJ55" s="189" t="s">
        <v>0</v>
      </c>
      <c r="BK55" s="486" t="s">
        <v>0</v>
      </c>
      <c r="BL55" s="189" t="s">
        <v>0</v>
      </c>
      <c r="BM55" s="189" t="s">
        <v>0</v>
      </c>
      <c r="BN55" s="189" t="s">
        <v>0</v>
      </c>
      <c r="BO55" s="189" t="s">
        <v>0</v>
      </c>
      <c r="BP55" s="486" t="s">
        <v>0</v>
      </c>
      <c r="BQ55" s="189" t="s">
        <v>0</v>
      </c>
      <c r="BR55" s="189" t="s">
        <v>0</v>
      </c>
      <c r="BS55" s="189" t="s">
        <v>0</v>
      </c>
      <c r="BT55" s="189" t="s">
        <v>0</v>
      </c>
      <c r="BU55" s="486" t="s">
        <v>0</v>
      </c>
      <c r="BV55" s="189" t="s">
        <v>0</v>
      </c>
      <c r="BW55" s="189" t="s">
        <v>0</v>
      </c>
      <c r="BX55" s="189" t="s">
        <v>0</v>
      </c>
      <c r="BY55" s="189" t="s">
        <v>0</v>
      </c>
      <c r="BZ55" s="486" t="s">
        <v>0</v>
      </c>
      <c r="CA55" s="189" t="s">
        <v>0</v>
      </c>
      <c r="CB55" s="189" t="s">
        <v>0</v>
      </c>
      <c r="CC55" s="189" t="s">
        <v>0</v>
      </c>
      <c r="CD55" s="189" t="s">
        <v>0</v>
      </c>
      <c r="CE55" s="486" t="s">
        <v>0</v>
      </c>
    </row>
    <row r="56" spans="2:83" ht="13.35" customHeight="1">
      <c r="B56" s="415" t="s">
        <v>140</v>
      </c>
      <c r="C56" s="415"/>
      <c r="D56" s="237">
        <f t="shared" ref="D56:H56" si="373">+D49-D53</f>
        <v>391</v>
      </c>
      <c r="E56" s="237">
        <f t="shared" si="373"/>
        <v>603</v>
      </c>
      <c r="F56" s="237">
        <f t="shared" si="373"/>
        <v>2694</v>
      </c>
      <c r="G56" s="237">
        <f t="shared" si="373"/>
        <v>2045.0000000000036</v>
      </c>
      <c r="H56" s="237">
        <f t="shared" si="373"/>
        <v>5733.0000000000036</v>
      </c>
      <c r="I56" s="237">
        <f t="shared" ref="I56:M56" si="374">+I49-I53</f>
        <v>346</v>
      </c>
      <c r="J56" s="237">
        <f t="shared" si="374"/>
        <v>2111</v>
      </c>
      <c r="K56" s="237">
        <f t="shared" si="374"/>
        <v>2930</v>
      </c>
      <c r="L56" s="237">
        <f t="shared" si="374"/>
        <v>1743.0000000000036</v>
      </c>
      <c r="M56" s="237">
        <f t="shared" si="374"/>
        <v>7130.0000000000036</v>
      </c>
      <c r="N56" s="237">
        <f t="shared" ref="N56:AL56" si="375">+N49-N53</f>
        <v>1686</v>
      </c>
      <c r="O56" s="237">
        <f t="shared" si="375"/>
        <v>4186</v>
      </c>
      <c r="P56" s="237">
        <f t="shared" si="375"/>
        <v>5702</v>
      </c>
      <c r="Q56" s="237">
        <f t="shared" si="375"/>
        <v>5621</v>
      </c>
      <c r="R56" s="414">
        <f t="shared" si="375"/>
        <v>17195</v>
      </c>
      <c r="S56" s="237">
        <f t="shared" si="375"/>
        <v>5545</v>
      </c>
      <c r="T56" s="237">
        <f t="shared" si="375"/>
        <v>6246</v>
      </c>
      <c r="U56" s="237">
        <f t="shared" si="375"/>
        <v>7089</v>
      </c>
      <c r="V56" s="237">
        <f t="shared" si="375"/>
        <v>7841</v>
      </c>
      <c r="W56" s="495">
        <f t="shared" si="375"/>
        <v>26721</v>
      </c>
      <c r="X56" s="237">
        <f t="shared" si="375"/>
        <v>7975.9999999999991</v>
      </c>
      <c r="Y56" s="237">
        <f t="shared" si="375"/>
        <v>7546</v>
      </c>
      <c r="Z56" s="237">
        <f t="shared" si="375"/>
        <v>8524</v>
      </c>
      <c r="AA56" s="237">
        <f t="shared" si="375"/>
        <v>8782</v>
      </c>
      <c r="AB56" s="495">
        <f t="shared" si="375"/>
        <v>32828</v>
      </c>
      <c r="AC56" s="237">
        <f t="shared" si="375"/>
        <v>7961.9999999999991</v>
      </c>
      <c r="AD56" s="237">
        <f t="shared" si="375"/>
        <v>10122</v>
      </c>
      <c r="AE56" s="237">
        <f t="shared" si="375"/>
        <v>12383</v>
      </c>
      <c r="AF56" s="414">
        <f t="shared" si="375"/>
        <v>13013</v>
      </c>
      <c r="AG56" s="495">
        <f t="shared" si="375"/>
        <v>43480</v>
      </c>
      <c r="AH56" s="414">
        <f t="shared" si="375"/>
        <v>14960</v>
      </c>
      <c r="AI56" s="414">
        <f t="shared" si="375"/>
        <v>16363</v>
      </c>
      <c r="AJ56" s="414">
        <f t="shared" si="375"/>
        <v>20687</v>
      </c>
      <c r="AK56" s="414">
        <f t="shared" si="375"/>
        <v>21336</v>
      </c>
      <c r="AL56" s="471">
        <f t="shared" si="375"/>
        <v>73346</v>
      </c>
      <c r="AM56" s="414">
        <f t="shared" ref="AM56:AQ56" si="376">+AM49-AM53</f>
        <v>20281</v>
      </c>
      <c r="AN56" s="414">
        <f t="shared" si="376"/>
        <v>22941</v>
      </c>
      <c r="AO56" s="414">
        <f t="shared" si="376"/>
        <v>26697</v>
      </c>
      <c r="AP56" s="414">
        <f t="shared" si="376"/>
        <v>25547</v>
      </c>
      <c r="AQ56" s="471">
        <f t="shared" si="376"/>
        <v>95466</v>
      </c>
      <c r="AR56" s="237">
        <f t="shared" ref="AR56:AV56" si="377">+AR49-AR53</f>
        <v>26641</v>
      </c>
      <c r="AS56" s="237">
        <f t="shared" si="377"/>
        <v>30286</v>
      </c>
      <c r="AT56" s="237">
        <f t="shared" si="377"/>
        <v>31393</v>
      </c>
      <c r="AU56" s="237">
        <f t="shared" si="377"/>
        <v>28636</v>
      </c>
      <c r="AV56" s="471">
        <f t="shared" si="377"/>
        <v>116956</v>
      </c>
      <c r="AW56" s="237">
        <f t="shared" ref="AW56:BA56" si="378">+AW49-AW53</f>
        <v>29762</v>
      </c>
      <c r="AX56" s="237">
        <f t="shared" si="378"/>
        <v>31606</v>
      </c>
      <c r="AY56" s="237">
        <f t="shared" si="378"/>
        <v>34154</v>
      </c>
      <c r="AZ56" s="237">
        <f t="shared" si="378"/>
        <v>33751</v>
      </c>
      <c r="BA56" s="471">
        <f t="shared" si="378"/>
        <v>129273</v>
      </c>
      <c r="BB56" s="237">
        <f t="shared" ref="BB56:BF56" si="379">+BB49-BB53</f>
        <v>35564</v>
      </c>
      <c r="BC56" s="237">
        <f t="shared" si="379"/>
        <v>35271</v>
      </c>
      <c r="BD56" s="237">
        <f t="shared" si="379"/>
        <v>36838</v>
      </c>
      <c r="BE56" s="237">
        <f t="shared" si="379"/>
        <v>38851</v>
      </c>
      <c r="BF56" s="471">
        <f t="shared" si="379"/>
        <v>146524</v>
      </c>
      <c r="BG56" s="237">
        <f t="shared" ref="BG56:BK56" si="380">+BG49-BG53</f>
        <v>41174</v>
      </c>
      <c r="BH56" s="237">
        <f t="shared" si="380"/>
        <v>47455</v>
      </c>
      <c r="BI56" s="237">
        <f t="shared" si="380"/>
        <v>56680</v>
      </c>
      <c r="BJ56" s="237">
        <f t="shared" si="380"/>
        <v>52837</v>
      </c>
      <c r="BK56" s="471">
        <f t="shared" si="380"/>
        <v>198146</v>
      </c>
      <c r="BL56" s="237">
        <f t="shared" ref="BL56:BP56" si="381">+BL49-BL53</f>
        <v>54738</v>
      </c>
      <c r="BM56" s="237">
        <f t="shared" si="381"/>
        <v>56912</v>
      </c>
      <c r="BN56" s="237">
        <f t="shared" si="381"/>
        <v>57971</v>
      </c>
      <c r="BO56" s="237">
        <f t="shared" si="381"/>
        <v>59367</v>
      </c>
      <c r="BP56" s="471">
        <f t="shared" si="381"/>
        <v>228988</v>
      </c>
      <c r="BQ56" s="237">
        <f t="shared" ref="BQ56:BU56" si="382">+BQ49-BQ53</f>
        <v>61447</v>
      </c>
      <c r="BR56" s="237">
        <f t="shared" si="382"/>
        <v>61212</v>
      </c>
      <c r="BS56" s="237">
        <f t="shared" si="382"/>
        <v>67441</v>
      </c>
      <c r="BT56" s="237">
        <f t="shared" si="382"/>
        <v>67715</v>
      </c>
      <c r="BU56" s="471">
        <f t="shared" si="382"/>
        <v>257815</v>
      </c>
      <c r="BV56" s="237">
        <f t="shared" ref="BV56:BZ56" si="383">+BV49-BV53</f>
        <v>64427.006880000001</v>
      </c>
      <c r="BW56" s="237">
        <f t="shared" si="383"/>
        <v>63677.197040000021</v>
      </c>
      <c r="BX56" s="237">
        <f t="shared" si="383"/>
        <v>65397.376867199993</v>
      </c>
      <c r="BY56" s="237">
        <f t="shared" si="383"/>
        <v>65306.034458800008</v>
      </c>
      <c r="BZ56" s="471">
        <f t="shared" si="383"/>
        <v>258807.61524600006</v>
      </c>
      <c r="CA56" s="237">
        <f t="shared" ref="CA56:CE56" si="384">+CA49-CA53</f>
        <v>67032.961870265615</v>
      </c>
      <c r="CB56" s="237">
        <f t="shared" si="384"/>
        <v>68405.720174048765</v>
      </c>
      <c r="CC56" s="237">
        <f t="shared" si="384"/>
        <v>71081.925748828216</v>
      </c>
      <c r="CD56" s="237">
        <f t="shared" si="384"/>
        <v>74442.346986293487</v>
      </c>
      <c r="CE56" s="471">
        <f t="shared" si="384"/>
        <v>280962.95477943606</v>
      </c>
    </row>
    <row r="57" spans="2:83" ht="12.6" hidden="1" customHeight="1" outlineLevel="1">
      <c r="B57" s="212"/>
      <c r="C57" s="212"/>
      <c r="D57" s="237"/>
      <c r="E57" s="237"/>
      <c r="F57" s="237"/>
      <c r="G57" s="237"/>
      <c r="H57" s="237"/>
      <c r="I57" s="237"/>
      <c r="J57" s="237"/>
      <c r="K57" s="237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496"/>
      <c r="X57" s="237"/>
      <c r="Y57" s="237"/>
      <c r="Z57" s="237"/>
      <c r="AA57" s="237"/>
      <c r="AB57" s="496"/>
      <c r="AC57" s="237"/>
      <c r="AD57" s="237"/>
      <c r="AE57" s="237"/>
      <c r="AF57" s="237" t="e">
        <f ca="1">(_xll.FDS(+$B$1,"FE_ESTIMATE(NET_INC_ADJ,MEAN,QUARTERLY,"&amp;IS!AF$74&amp;",NOW,,,'')"))*1000</f>
        <v>#NAME?</v>
      </c>
      <c r="AG57" s="496" t="e">
        <f ca="1">(_xll.FDS(+$B$1,"FE_ESTIMATE(NET_INC_ADJ,MEAN,ANNUAL,"&amp;IS!AG$74&amp;",NOW,,,'')"))*1000</f>
        <v>#NAME?</v>
      </c>
      <c r="AH57" s="237" t="e">
        <f ca="1">(_xll.FDS(+$B$1,"FE_ESTIMATE(NET_INC_ADJ,MEAN,QUARTERLY,"&amp;IS!AH$74&amp;",NOW,,,'')"))*1000</f>
        <v>#NAME?</v>
      </c>
      <c r="AI57" s="237" t="e">
        <f ca="1">(_xll.FDS(+$B$1,"FE_ESTIMATE(NET_INC_ADJ,MEAN,QUARTERLY,"&amp;IS!AI$74&amp;",NOW,,,'')"))*1000</f>
        <v>#NAME?</v>
      </c>
      <c r="AJ57" s="237" t="e">
        <f ca="1">(_xll.FDS(+$B$1,"FE_ESTIMATE(NET_INC_ADJ,MEAN,QUARTERLY,"&amp;IS!AJ$74&amp;",NOW,,,'')"))*1000</f>
        <v>#NAME?</v>
      </c>
      <c r="AK57" s="237" t="e">
        <f ca="1">(_xll.FDS(+$B$1,"FE_ESTIMATE(NET_INC_ADJ,MEAN,QUARTERLY,"&amp;IS!AK$74&amp;",NOW,,,'')"))*1000</f>
        <v>#NAME?</v>
      </c>
      <c r="AL57" s="472" t="e">
        <f ca="1">(_xll.FDS(+$B$1,"FE_ESTIMATE(NET_INC_ADJ,MEAN,ANNUAL,"&amp;IS!AL$74&amp;",NOW,,,'')"))*1000</f>
        <v>#NAME?</v>
      </c>
      <c r="AM57" s="237" t="e">
        <f ca="1">(_xll.FDS(+$B$1,"FE_ESTIMATE(NET_INC_ADJ,MEAN,QUARTERLY,"&amp;IS!AM$74&amp;",NOW,,,'')"))*1000</f>
        <v>#NAME?</v>
      </c>
      <c r="AN57" s="237" t="e">
        <f ca="1">(_xll.FDS(+$B$1,"FE_ESTIMATE(NET_INC_ADJ,MEAN,QUARTERLY,"&amp;IS!AN$74&amp;",NOW,,,'')"))*1000</f>
        <v>#NAME?</v>
      </c>
      <c r="AO57" s="237" t="e">
        <f ca="1">(_xll.FDS(+$B$1,"FE_ESTIMATE(NET_INC_ADJ,MEAN,QUARTERLY,"&amp;IS!AO$74&amp;",NOW,,,'')"))*1000</f>
        <v>#NAME?</v>
      </c>
      <c r="AP57" s="237" t="e">
        <f ca="1">(_xll.FDS(+$B$1,"FE_ESTIMATE(NET_INC_ADJ,MEAN,QUARTERLY,"&amp;IS!AP$74&amp;",NOW,,,'')"))*1000</f>
        <v>#NAME?</v>
      </c>
      <c r="AQ57" s="472" t="e">
        <f ca="1">(_xll.FDS(+$B$1,"FE_ESTIMATE(NET_INC_ADJ,MEAN,ANNUAL,"&amp;IS!AQ$74&amp;",NOW,,,'')"))*1000</f>
        <v>#NAME?</v>
      </c>
      <c r="AR57" s="237" t="e">
        <f ca="1">(_xll.FDS(+$B$1,"FE_ESTIMATE(NET_INC_ADJ,MEAN,QUARTERLY,"&amp;IS!AR$74&amp;",NOW,,,'')"))*1000</f>
        <v>#NAME?</v>
      </c>
      <c r="AS57" s="237" t="e">
        <f ca="1">(_xll.FDS(+$B$1,"FE_ESTIMATE(NET_INC_ADJ,MEAN,QUARTERLY,"&amp;IS!AS$74&amp;",NOW,,,'')"))*1000</f>
        <v>#NAME?</v>
      </c>
      <c r="AT57" s="237" t="e">
        <f ca="1">(_xll.FDS(+$B$1,"FE_ESTIMATE(NET_INC_ADJ,MEAN,QUARTERLY,"&amp;IS!AT$74&amp;",NOW,,,'')"))*1000</f>
        <v>#NAME?</v>
      </c>
      <c r="AU57" s="237" t="e">
        <f ca="1">(_xll.FDS(+$B$1,"FE_ESTIMATE(NET_INC_ADJ,MEAN,QUARTERLY,"&amp;IS!AU$74&amp;",NOW,,,'')"))*1000</f>
        <v>#NAME?</v>
      </c>
      <c r="AV57" s="472"/>
      <c r="AW57" s="237"/>
      <c r="AX57" s="237"/>
      <c r="AY57" s="237"/>
      <c r="AZ57" s="237"/>
      <c r="BA57" s="472"/>
      <c r="BB57" s="237"/>
      <c r="BC57" s="237"/>
      <c r="BD57" s="237"/>
      <c r="BE57" s="237"/>
      <c r="BF57" s="472"/>
      <c r="BG57" s="237"/>
      <c r="BH57" s="237"/>
      <c r="BI57" s="237"/>
      <c r="BJ57" s="237"/>
      <c r="BK57" s="472"/>
      <c r="BL57" s="237"/>
      <c r="BM57" s="237"/>
      <c r="BN57" s="237"/>
      <c r="BO57" s="237"/>
      <c r="BP57" s="472"/>
      <c r="BQ57" s="237"/>
      <c r="BR57" s="237"/>
      <c r="BS57" s="237"/>
      <c r="BT57" s="237"/>
      <c r="BU57" s="472"/>
      <c r="BV57" s="237"/>
      <c r="BW57" s="237"/>
      <c r="BX57" s="237"/>
      <c r="BY57" s="237"/>
      <c r="BZ57" s="472"/>
      <c r="CA57" s="237"/>
      <c r="CB57" s="237"/>
      <c r="CC57" s="237"/>
      <c r="CD57" s="237"/>
      <c r="CE57" s="472"/>
    </row>
    <row r="58" spans="2:83" ht="12.6" customHeight="1" collapsed="1">
      <c r="B58" s="415"/>
      <c r="C58" s="415"/>
      <c r="D58" s="224"/>
      <c r="E58" s="224"/>
      <c r="F58" s="224"/>
      <c r="G58" s="224"/>
      <c r="H58" s="195"/>
      <c r="I58" s="224"/>
      <c r="J58" s="224"/>
      <c r="K58" s="224"/>
      <c r="L58" s="224"/>
      <c r="M58" s="195"/>
      <c r="N58" s="224"/>
      <c r="O58" s="224"/>
      <c r="P58" s="224"/>
      <c r="Q58" s="224"/>
      <c r="R58" s="439"/>
      <c r="S58" s="224"/>
      <c r="T58" s="224"/>
      <c r="U58" s="224"/>
      <c r="V58" s="224"/>
      <c r="W58" s="513"/>
      <c r="X58" s="224"/>
      <c r="Y58" s="224"/>
      <c r="Z58" s="224"/>
      <c r="AA58" s="224"/>
      <c r="AB58" s="513"/>
      <c r="AC58" s="224"/>
      <c r="AD58" s="224"/>
      <c r="AE58" s="224"/>
      <c r="AF58" s="441"/>
      <c r="AG58" s="513"/>
      <c r="AH58" s="441"/>
      <c r="AI58" s="441"/>
      <c r="AJ58" s="441"/>
      <c r="AK58" s="441"/>
      <c r="AL58" s="490"/>
      <c r="AM58" s="441"/>
      <c r="AN58" s="441"/>
      <c r="AO58" s="441"/>
      <c r="AP58" s="441"/>
      <c r="AQ58" s="490"/>
      <c r="AR58" s="224"/>
      <c r="AS58" s="224"/>
      <c r="AT58" s="224"/>
      <c r="AU58" s="224"/>
      <c r="AV58" s="490"/>
      <c r="AW58" s="224"/>
      <c r="AX58" s="224"/>
      <c r="AY58" s="224"/>
      <c r="AZ58" s="224"/>
      <c r="BA58" s="490"/>
      <c r="BB58" s="224"/>
      <c r="BC58" s="224"/>
      <c r="BD58" s="224"/>
      <c r="BE58" s="224"/>
      <c r="BF58" s="490"/>
      <c r="BG58" s="224"/>
      <c r="BH58" s="224"/>
      <c r="BI58" s="224"/>
      <c r="BJ58" s="224"/>
      <c r="BK58" s="490"/>
      <c r="BL58" s="224"/>
      <c r="BM58" s="224"/>
      <c r="BN58" s="224"/>
      <c r="BO58" s="224"/>
      <c r="BP58" s="490"/>
      <c r="BQ58" s="224"/>
      <c r="BR58" s="224"/>
      <c r="BS58" s="224"/>
      <c r="BT58" s="224"/>
      <c r="BU58" s="490"/>
      <c r="BV58" s="224"/>
      <c r="BW58" s="224"/>
      <c r="BX58" s="224"/>
      <c r="BY58" s="224"/>
      <c r="BZ58" s="490"/>
      <c r="CA58" s="224"/>
      <c r="CB58" s="224"/>
      <c r="CC58" s="224"/>
      <c r="CD58" s="224"/>
      <c r="CE58" s="490"/>
    </row>
    <row r="59" spans="2:83" ht="13.35" customHeight="1">
      <c r="B59" s="415" t="s">
        <v>141</v>
      </c>
      <c r="C59" s="415"/>
      <c r="D59" s="195">
        <f t="shared" ref="D59:H59" si="385">D56/D62</f>
        <v>1.5552903739061257E-2</v>
      </c>
      <c r="E59" s="195">
        <f t="shared" si="385"/>
        <v>2.3195876288659795E-2</v>
      </c>
      <c r="F59" s="195">
        <f t="shared" si="385"/>
        <v>0.10148803917875306</v>
      </c>
      <c r="G59" s="195">
        <f t="shared" si="385"/>
        <v>5.8321925621720387E-2</v>
      </c>
      <c r="H59" s="195">
        <f t="shared" si="385"/>
        <v>0.20339704643221443</v>
      </c>
      <c r="I59" s="195">
        <f t="shared" ref="I59:M59" si="386">I56/I62</f>
        <v>9.7969816235807111E-3</v>
      </c>
      <c r="J59" s="195">
        <f t="shared" si="386"/>
        <v>5.9644562484107023E-2</v>
      </c>
      <c r="K59" s="195">
        <f t="shared" si="386"/>
        <v>8.0834275940077804E-2</v>
      </c>
      <c r="L59" s="195">
        <f t="shared" si="386"/>
        <v>4.7521675118599803E-2</v>
      </c>
      <c r="M59" s="195">
        <f t="shared" si="386"/>
        <v>0.19855884707766222</v>
      </c>
      <c r="N59" s="195">
        <f t="shared" ref="N59:AL59" si="387">N56/N62</f>
        <v>4.5466803300792835E-2</v>
      </c>
      <c r="O59" s="195">
        <f t="shared" si="387"/>
        <v>0.11362957735009094</v>
      </c>
      <c r="P59" s="195">
        <f t="shared" si="387"/>
        <v>0.15377562028047465</v>
      </c>
      <c r="Q59" s="195">
        <f t="shared" si="387"/>
        <v>0.14937549827265478</v>
      </c>
      <c r="R59" s="439">
        <f t="shared" si="387"/>
        <v>0.46275676002987265</v>
      </c>
      <c r="S59" s="195">
        <f t="shared" si="387"/>
        <v>0.14502419249378842</v>
      </c>
      <c r="T59" s="195">
        <f t="shared" si="387"/>
        <v>0.1623391812865497</v>
      </c>
      <c r="U59" s="195">
        <f t="shared" si="387"/>
        <v>0.18685750434920134</v>
      </c>
      <c r="V59" s="195">
        <f t="shared" si="387"/>
        <v>0.20555235149163739</v>
      </c>
      <c r="W59" s="514">
        <f t="shared" si="387"/>
        <v>0.69953008625993163</v>
      </c>
      <c r="X59" s="195">
        <f t="shared" si="387"/>
        <v>0.21079338231407577</v>
      </c>
      <c r="Y59" s="195">
        <f t="shared" si="387"/>
        <v>0.19783446503945679</v>
      </c>
      <c r="Z59" s="195">
        <f t="shared" si="387"/>
        <v>0.22019012192601778</v>
      </c>
      <c r="AA59" s="195">
        <f t="shared" si="387"/>
        <v>0.22516794010563562</v>
      </c>
      <c r="AB59" s="514">
        <f t="shared" si="387"/>
        <v>0.85436741598620647</v>
      </c>
      <c r="AC59" s="195">
        <f t="shared" si="387"/>
        <v>0.20496846440983393</v>
      </c>
      <c r="AD59" s="195">
        <f t="shared" si="387"/>
        <v>0.25602630580498292</v>
      </c>
      <c r="AE59" s="195">
        <f t="shared" si="387"/>
        <v>0.3072780962306757</v>
      </c>
      <c r="AF59" s="439">
        <f t="shared" si="387"/>
        <v>0.31595687855096394</v>
      </c>
      <c r="AG59" s="514">
        <f t="shared" si="387"/>
        <v>1.0879179307540738</v>
      </c>
      <c r="AH59" s="439">
        <f t="shared" si="387"/>
        <v>0.35675108503839364</v>
      </c>
      <c r="AI59" s="439">
        <f t="shared" si="387"/>
        <v>0.38761103873030911</v>
      </c>
      <c r="AJ59" s="439">
        <f t="shared" si="387"/>
        <v>0.49024812190440081</v>
      </c>
      <c r="AK59" s="439">
        <f t="shared" si="387"/>
        <v>0.5131313131313131</v>
      </c>
      <c r="AL59" s="491">
        <f t="shared" si="387"/>
        <v>1.7471028905589367</v>
      </c>
      <c r="AM59" s="439">
        <f t="shared" ref="AM59:AQ59" si="388">AM56/AM62</f>
        <v>0.48815770471284842</v>
      </c>
      <c r="AN59" s="439">
        <f t="shared" si="388"/>
        <v>0.55239585841560312</v>
      </c>
      <c r="AO59" s="439">
        <f t="shared" si="388"/>
        <v>0.64858364510956712</v>
      </c>
      <c r="AP59" s="439">
        <f t="shared" si="388"/>
        <v>0.62430048141541017</v>
      </c>
      <c r="AQ59" s="491">
        <f t="shared" si="388"/>
        <v>2.3090095537549886</v>
      </c>
      <c r="AR59" s="195">
        <f t="shared" ref="AR59:AV59" si="389">AR56/AR62</f>
        <v>0.65223032855114327</v>
      </c>
      <c r="AS59" s="195">
        <f t="shared" si="389"/>
        <v>0.74014516483785042</v>
      </c>
      <c r="AT59" s="195">
        <f t="shared" si="389"/>
        <v>0.7701157884407811</v>
      </c>
      <c r="AU59" s="195">
        <f t="shared" si="389"/>
        <v>0.70811078140454997</v>
      </c>
      <c r="AV59" s="491">
        <f t="shared" si="389"/>
        <v>2.8649535800896553</v>
      </c>
      <c r="AW59" s="195">
        <f t="shared" ref="AW59:BA59" si="390">AW56/AW62</f>
        <v>0.73613653227801135</v>
      </c>
      <c r="AX59" s="195">
        <f t="shared" si="390"/>
        <v>0.7886318836240237</v>
      </c>
      <c r="AY59" s="195">
        <f t="shared" si="390"/>
        <v>0.85517552205919178</v>
      </c>
      <c r="AZ59" s="195">
        <f t="shared" si="390"/>
        <v>0.8431215807748994</v>
      </c>
      <c r="BA59" s="491">
        <f t="shared" si="390"/>
        <v>3.2222388394526282</v>
      </c>
      <c r="BB59" s="195">
        <f t="shared" ref="BB59:BF59" si="391">BB56/BB62</f>
        <v>0.88907777305567359</v>
      </c>
      <c r="BC59" s="195">
        <f t="shared" si="391"/>
        <v>0.88868452215979243</v>
      </c>
      <c r="BD59" s="195">
        <f t="shared" si="391"/>
        <v>0.93926568077511474</v>
      </c>
      <c r="BE59" s="195">
        <f t="shared" si="391"/>
        <v>1.0096413721413722</v>
      </c>
      <c r="BF59" s="491">
        <f t="shared" si="391"/>
        <v>3.7238452252366732</v>
      </c>
      <c r="BG59" s="195">
        <f t="shared" ref="BG59:BK59" si="392">BG56/BG62</f>
        <v>1.0930473333510313</v>
      </c>
      <c r="BH59" s="195">
        <f t="shared" si="392"/>
        <v>1.2676639508481369</v>
      </c>
      <c r="BI59" s="195">
        <f t="shared" si="392"/>
        <v>1.5135654774620808</v>
      </c>
      <c r="BJ59" s="195">
        <f t="shared" si="392"/>
        <v>1.3997297870085832</v>
      </c>
      <c r="BK59" s="491">
        <f t="shared" si="392"/>
        <v>5.2733466400532265</v>
      </c>
      <c r="BL59" s="195">
        <f t="shared" ref="BL59:BP59" si="393">BL56/BL62</f>
        <v>1.4510510828937253</v>
      </c>
      <c r="BM59" s="195">
        <f t="shared" si="393"/>
        <v>1.519111680546658</v>
      </c>
      <c r="BN59" s="195">
        <f t="shared" si="393"/>
        <v>1.5610458853942266</v>
      </c>
      <c r="BO59" s="195">
        <f t="shared" si="393"/>
        <v>1.6045135135135136</v>
      </c>
      <c r="BP59" s="491">
        <f t="shared" si="393"/>
        <v>6.1340315959363263</v>
      </c>
      <c r="BQ59" s="195">
        <f t="shared" ref="BQ59:BU59" si="394">BQ56/BQ62</f>
        <v>1.6704817311874729</v>
      </c>
      <c r="BR59" s="195">
        <f t="shared" si="394"/>
        <v>1.676168569785591</v>
      </c>
      <c r="BS59" s="195">
        <f t="shared" si="394"/>
        <v>1.85823712561651</v>
      </c>
      <c r="BT59" s="195">
        <f t="shared" si="394"/>
        <v>1.8736856668511346</v>
      </c>
      <c r="BU59" s="491">
        <f t="shared" si="394"/>
        <v>7.0762200142723826</v>
      </c>
      <c r="BV59" s="195">
        <f t="shared" ref="BV59:BZ59" si="395">BV56/BV62</f>
        <v>1.7898657963342022</v>
      </c>
      <c r="BW59" s="195">
        <f t="shared" si="395"/>
        <v>1.7869041481505732</v>
      </c>
      <c r="BX59" s="195">
        <f t="shared" si="395"/>
        <v>1.8593472034408594</v>
      </c>
      <c r="BY59" s="195">
        <f t="shared" si="395"/>
        <v>1.8755052519249322</v>
      </c>
      <c r="BZ59" s="491">
        <f t="shared" si="395"/>
        <v>7.309728614289031</v>
      </c>
      <c r="CA59" s="195">
        <f t="shared" ref="CA59:CE59" si="396">CA56/CA62</f>
        <v>1.934774255670564</v>
      </c>
      <c r="CB59" s="195">
        <f t="shared" si="396"/>
        <v>1.9724237932425073</v>
      </c>
      <c r="CC59" s="195">
        <f t="shared" si="396"/>
        <v>2.0475424809813463</v>
      </c>
      <c r="CD59" s="195">
        <f t="shared" si="396"/>
        <v>2.1421985214667272</v>
      </c>
      <c r="CE59" s="491">
        <f t="shared" si="396"/>
        <v>8.0972876012471975</v>
      </c>
    </row>
    <row r="60" spans="2:83" ht="13.35" hidden="1" customHeight="1" outlineLevel="1">
      <c r="B60" s="212"/>
      <c r="C60" s="206"/>
      <c r="D60" s="225"/>
      <c r="E60" s="225"/>
      <c r="F60" s="225"/>
      <c r="G60" s="225"/>
      <c r="H60" s="225"/>
      <c r="I60" s="225"/>
      <c r="J60" s="225"/>
      <c r="K60" s="225"/>
      <c r="L60" s="225"/>
      <c r="M60" s="225"/>
      <c r="N60" s="225"/>
      <c r="O60" s="225"/>
      <c r="P60" s="225"/>
      <c r="Q60" s="225"/>
      <c r="R60" s="225"/>
      <c r="S60" s="225"/>
      <c r="T60" s="225"/>
      <c r="U60" s="225"/>
      <c r="V60" s="225"/>
      <c r="W60" s="518"/>
      <c r="X60" s="225"/>
      <c r="Y60" s="225"/>
      <c r="Z60" s="225"/>
      <c r="AA60" s="225"/>
      <c r="AB60" s="518"/>
      <c r="AC60" s="225"/>
      <c r="AD60" s="195"/>
      <c r="AE60" s="195"/>
      <c r="AF60" s="195"/>
      <c r="AG60" s="515"/>
      <c r="AH60" s="195"/>
      <c r="AI60" s="195"/>
      <c r="AJ60" s="195"/>
      <c r="AK60" s="195"/>
      <c r="AL60" s="492"/>
      <c r="AM60" s="195"/>
      <c r="AN60" s="195"/>
      <c r="AO60" s="195"/>
      <c r="AP60" s="195"/>
      <c r="AQ60" s="492"/>
      <c r="AR60" s="195"/>
      <c r="AS60" s="195"/>
      <c r="AT60" s="195"/>
      <c r="AU60" s="195"/>
      <c r="AV60" s="492"/>
      <c r="AW60" s="195"/>
      <c r="AX60" s="195"/>
      <c r="AY60" s="195"/>
      <c r="AZ60" s="195"/>
      <c r="BA60" s="492"/>
      <c r="BB60" s="195"/>
      <c r="BC60" s="195"/>
      <c r="BD60" s="195"/>
      <c r="BE60" s="195"/>
      <c r="BF60" s="492"/>
      <c r="BG60" s="195"/>
      <c r="BH60" s="195"/>
      <c r="BI60" s="195"/>
      <c r="BJ60" s="195"/>
      <c r="BK60" s="492"/>
      <c r="BL60" s="195"/>
      <c r="BM60" s="195"/>
      <c r="BN60" s="195"/>
      <c r="BO60" s="195"/>
      <c r="BP60" s="492"/>
      <c r="BQ60" s="195"/>
      <c r="BR60" s="195"/>
      <c r="BS60" s="195"/>
      <c r="BT60" s="195"/>
      <c r="BU60" s="492"/>
      <c r="BV60" s="195"/>
      <c r="BW60" s="195"/>
      <c r="BX60" s="195"/>
      <c r="BY60" s="195"/>
      <c r="BZ60" s="492"/>
      <c r="CA60" s="195"/>
      <c r="CB60" s="195"/>
      <c r="CC60" s="195"/>
      <c r="CD60" s="195"/>
      <c r="CE60" s="492"/>
    </row>
    <row r="61" spans="2:83" ht="12.6" customHeight="1" collapsed="1">
      <c r="B61" s="415"/>
      <c r="C61" s="407"/>
      <c r="D61" s="225"/>
      <c r="E61" s="225"/>
      <c r="F61" s="225"/>
      <c r="G61" s="225"/>
      <c r="H61" s="225"/>
      <c r="I61" s="225"/>
      <c r="J61" s="225"/>
      <c r="K61" s="225"/>
      <c r="L61" s="225"/>
      <c r="M61" s="225"/>
      <c r="N61" s="225"/>
      <c r="O61" s="225"/>
      <c r="P61" s="225"/>
      <c r="Q61" s="225"/>
      <c r="R61" s="440"/>
      <c r="S61" s="225"/>
      <c r="T61" s="225"/>
      <c r="U61" s="225"/>
      <c r="V61" s="225"/>
      <c r="W61" s="513"/>
      <c r="X61" s="225"/>
      <c r="Y61" s="225"/>
      <c r="Z61" s="225"/>
      <c r="AA61" s="225"/>
      <c r="AB61" s="513"/>
      <c r="AC61" s="225"/>
      <c r="AD61" s="225"/>
      <c r="AE61" s="225"/>
      <c r="AF61" s="440"/>
      <c r="AG61" s="513"/>
      <c r="AH61" s="440"/>
      <c r="AI61" s="440"/>
      <c r="AJ61" s="440"/>
      <c r="AK61" s="440"/>
      <c r="AL61" s="493"/>
      <c r="AM61" s="440"/>
      <c r="AN61" s="440"/>
      <c r="AO61" s="440"/>
      <c r="AP61" s="440"/>
      <c r="AQ61" s="493"/>
      <c r="AR61" s="225"/>
      <c r="AS61" s="225"/>
      <c r="AT61" s="225"/>
      <c r="AU61" s="225"/>
      <c r="AV61" s="493"/>
      <c r="AW61" s="225"/>
      <c r="AX61" s="225"/>
      <c r="AY61" s="225"/>
      <c r="AZ61" s="225"/>
      <c r="BA61" s="493"/>
      <c r="BB61" s="225"/>
      <c r="BC61" s="225"/>
      <c r="BD61" s="225"/>
      <c r="BE61" s="225"/>
      <c r="BF61" s="493"/>
      <c r="BG61" s="225"/>
      <c r="BH61" s="225"/>
      <c r="BI61" s="225"/>
      <c r="BJ61" s="225"/>
      <c r="BK61" s="493"/>
      <c r="BL61" s="225"/>
      <c r="BM61" s="225"/>
      <c r="BN61" s="225"/>
      <c r="BO61" s="225"/>
      <c r="BP61" s="493"/>
      <c r="BQ61" s="225"/>
      <c r="BR61" s="225"/>
      <c r="BS61" s="225"/>
      <c r="BT61" s="225"/>
      <c r="BU61" s="493"/>
      <c r="BV61" s="225"/>
      <c r="BW61" s="225"/>
      <c r="BX61" s="225"/>
      <c r="BY61" s="225"/>
      <c r="BZ61" s="493"/>
      <c r="CA61" s="225"/>
      <c r="CB61" s="225"/>
      <c r="CC61" s="225"/>
      <c r="CD61" s="225"/>
      <c r="CE61" s="493"/>
    </row>
    <row r="62" spans="2:83" ht="12" customHeight="1">
      <c r="B62" s="407" t="s">
        <v>14</v>
      </c>
      <c r="C62" s="407"/>
      <c r="D62" s="216">
        <v>25140</v>
      </c>
      <c r="E62" s="216">
        <v>25996</v>
      </c>
      <c r="F62" s="216">
        <v>26545</v>
      </c>
      <c r="G62" s="216">
        <v>35064</v>
      </c>
      <c r="H62" s="216">
        <f>(D62+E62+F62+G62)/4</f>
        <v>28186.25</v>
      </c>
      <c r="I62" s="216">
        <v>35317</v>
      </c>
      <c r="J62" s="216">
        <v>35393</v>
      </c>
      <c r="K62" s="216">
        <v>36247</v>
      </c>
      <c r="L62" s="216">
        <v>36678</v>
      </c>
      <c r="M62" s="216">
        <f>(I62+J62+K62+L62)/4</f>
        <v>35908.75</v>
      </c>
      <c r="N62" s="216">
        <v>37082</v>
      </c>
      <c r="O62" s="216">
        <v>36839</v>
      </c>
      <c r="P62" s="216">
        <v>37080</v>
      </c>
      <c r="Q62" s="216">
        <v>37630</v>
      </c>
      <c r="R62" s="427">
        <f>(N62+O62+P62+Q62)/4</f>
        <v>37157.75</v>
      </c>
      <c r="S62" s="216">
        <v>38235</v>
      </c>
      <c r="T62" s="216">
        <v>38475</v>
      </c>
      <c r="U62" s="216">
        <v>37938</v>
      </c>
      <c r="V62" s="216">
        <v>38146</v>
      </c>
      <c r="W62" s="505">
        <f>(S62+T62+U62+V62)/4</f>
        <v>38198.5</v>
      </c>
      <c r="X62" s="216">
        <v>37838</v>
      </c>
      <c r="Y62" s="216">
        <v>38143</v>
      </c>
      <c r="Z62" s="216">
        <v>38712</v>
      </c>
      <c r="AA62" s="216">
        <v>39002</v>
      </c>
      <c r="AB62" s="505">
        <f>(X62+Y62+Z62+AA62)/4</f>
        <v>38423.75</v>
      </c>
      <c r="AC62" s="216">
        <v>38845</v>
      </c>
      <c r="AD62" s="216">
        <v>39535</v>
      </c>
      <c r="AE62" s="216">
        <v>40299</v>
      </c>
      <c r="AF62" s="427">
        <v>41186</v>
      </c>
      <c r="AG62" s="505">
        <f>(AC62+AD62+AE62+AF62)/4</f>
        <v>39966.25</v>
      </c>
      <c r="AH62" s="427">
        <v>41934</v>
      </c>
      <c r="AI62" s="427">
        <v>42215</v>
      </c>
      <c r="AJ62" s="427">
        <v>42197</v>
      </c>
      <c r="AK62" s="427">
        <v>41580</v>
      </c>
      <c r="AL62" s="481">
        <f>(AH62+AI62+AJ62+AK62)/4</f>
        <v>41981.5</v>
      </c>
      <c r="AM62" s="427">
        <v>41546</v>
      </c>
      <c r="AN62" s="427">
        <v>41530</v>
      </c>
      <c r="AO62" s="427">
        <f>41162</f>
        <v>41162</v>
      </c>
      <c r="AP62" s="427">
        <f>40921</f>
        <v>40921</v>
      </c>
      <c r="AQ62" s="481">
        <f>41345</f>
        <v>41345</v>
      </c>
      <c r="AR62" s="216">
        <v>40846</v>
      </c>
      <c r="AS62" s="216">
        <v>40919</v>
      </c>
      <c r="AT62" s="216">
        <f>40764</f>
        <v>40764</v>
      </c>
      <c r="AU62" s="216">
        <f>40440</f>
        <v>40440</v>
      </c>
      <c r="AV62" s="481">
        <f>40823</f>
        <v>40823</v>
      </c>
      <c r="AW62" s="216">
        <f>40430</f>
        <v>40430</v>
      </c>
      <c r="AX62" s="216">
        <f>40077</f>
        <v>40077</v>
      </c>
      <c r="AY62" s="216">
        <f>39938</f>
        <v>39938</v>
      </c>
      <c r="AZ62" s="216">
        <f>40031</f>
        <v>40031</v>
      </c>
      <c r="BA62" s="481">
        <f>(AW62+AX62+AY62+AZ62)/4</f>
        <v>40119</v>
      </c>
      <c r="BB62" s="216">
        <f>40001</f>
        <v>40001</v>
      </c>
      <c r="BC62" s="216">
        <f>39689</f>
        <v>39689</v>
      </c>
      <c r="BD62" s="216">
        <f>39220</f>
        <v>39220</v>
      </c>
      <c r="BE62" s="216">
        <f>38480</f>
        <v>38480</v>
      </c>
      <c r="BF62" s="481">
        <f>(BB62+BC62+BD62+BE62)/4</f>
        <v>39347.5</v>
      </c>
      <c r="BG62" s="216">
        <f>37669</f>
        <v>37669</v>
      </c>
      <c r="BH62" s="216">
        <f>37435</f>
        <v>37435</v>
      </c>
      <c r="BI62" s="216">
        <f>37448</f>
        <v>37448</v>
      </c>
      <c r="BJ62" s="216">
        <f>37748</f>
        <v>37748</v>
      </c>
      <c r="BK62" s="796">
        <f>(BG62+BH62+BI62+BJ62)/4</f>
        <v>37575</v>
      </c>
      <c r="BL62" s="216">
        <f>37723</f>
        <v>37723</v>
      </c>
      <c r="BM62" s="216">
        <f>37464</f>
        <v>37464</v>
      </c>
      <c r="BN62" s="216">
        <f>37136</f>
        <v>37136</v>
      </c>
      <c r="BO62" s="216">
        <v>37000</v>
      </c>
      <c r="BP62" s="796">
        <f>(BL62+BM62+BN62+BO62)/4</f>
        <v>37330.75</v>
      </c>
      <c r="BQ62" s="216">
        <f>36784</f>
        <v>36784</v>
      </c>
      <c r="BR62" s="216">
        <f>36519</f>
        <v>36519</v>
      </c>
      <c r="BS62" s="216">
        <f>36293</f>
        <v>36293</v>
      </c>
      <c r="BT62" s="216">
        <f>36140</f>
        <v>36140</v>
      </c>
      <c r="BU62" s="796">
        <f>(BQ62+BR62+BS62+BT62)/4</f>
        <v>36434</v>
      </c>
      <c r="BV62" s="216">
        <f>+BT62*0.996</f>
        <v>35995.440000000002</v>
      </c>
      <c r="BW62" s="216">
        <f>+BV62*0.99</f>
        <v>35635.4856</v>
      </c>
      <c r="BX62" s="216">
        <f>+BW62*0.987</f>
        <v>35172.224287199999</v>
      </c>
      <c r="BY62" s="216">
        <f>+BX62*0.99</f>
        <v>34820.502044328001</v>
      </c>
      <c r="BZ62" s="796">
        <f>(BV62+BW62+BX62+BY62)/4</f>
        <v>35405.912982882001</v>
      </c>
      <c r="CA62" s="216">
        <f>+BY62*0.995</f>
        <v>34646.399534106364</v>
      </c>
      <c r="CB62" s="216">
        <f>+CA62*1.001</f>
        <v>34681.045933640467</v>
      </c>
      <c r="CC62" s="216">
        <f t="shared" ref="CC62:CD62" si="397">+CB62*1.001</f>
        <v>34715.726979574101</v>
      </c>
      <c r="CD62" s="216">
        <f t="shared" si="397"/>
        <v>34750.442706553673</v>
      </c>
      <c r="CE62" s="796">
        <f>(CA62+CB62+CC62+CD62)/4</f>
        <v>34698.403788468655</v>
      </c>
    </row>
    <row r="63" spans="2:83" ht="12.6" customHeight="1">
      <c r="B63" s="407"/>
      <c r="C63" s="407"/>
      <c r="D63" s="226"/>
      <c r="E63" s="226"/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442"/>
      <c r="S63" s="226"/>
      <c r="T63" s="226"/>
      <c r="U63" s="226"/>
      <c r="V63" s="226"/>
      <c r="W63" s="442"/>
      <c r="X63" s="226"/>
      <c r="Y63" s="226"/>
      <c r="Z63" s="226"/>
      <c r="AA63" s="226"/>
      <c r="AB63" s="442"/>
      <c r="AC63" s="226"/>
      <c r="AD63" s="226"/>
      <c r="AE63" s="226"/>
      <c r="AF63" s="442"/>
      <c r="AG63" s="442"/>
      <c r="AH63" s="443"/>
      <c r="AI63" s="442"/>
      <c r="AJ63" s="442"/>
      <c r="AK63" s="442"/>
      <c r="AL63" s="442"/>
      <c r="AM63" s="442"/>
      <c r="AN63" s="442"/>
      <c r="AO63" s="442"/>
      <c r="AP63" s="442"/>
      <c r="AQ63" s="442"/>
      <c r="AR63" s="226"/>
      <c r="AS63" s="226"/>
      <c r="AT63" s="226"/>
      <c r="AU63" s="226"/>
      <c r="AV63" s="442"/>
      <c r="AW63" s="226"/>
      <c r="AX63" s="226"/>
      <c r="AY63" s="226"/>
      <c r="AZ63" s="226"/>
      <c r="BA63" s="442"/>
      <c r="BB63" s="226"/>
      <c r="BC63" s="226"/>
      <c r="BD63" s="226"/>
      <c r="BE63" s="226"/>
      <c r="BF63" s="442"/>
      <c r="BG63" s="226"/>
      <c r="BH63" s="226"/>
      <c r="BI63" s="226"/>
      <c r="BJ63" s="226"/>
      <c r="BK63" s="797"/>
      <c r="BL63" s="226"/>
      <c r="BM63" s="226"/>
      <c r="BN63" s="226"/>
      <c r="BO63" s="226"/>
      <c r="BP63" s="797"/>
      <c r="BQ63" s="226"/>
      <c r="BR63" s="226"/>
      <c r="BS63" s="226"/>
      <c r="BT63" s="226"/>
      <c r="BU63" s="797"/>
      <c r="BV63" s="226"/>
      <c r="BW63" s="226"/>
      <c r="BX63" s="226"/>
      <c r="BY63" s="226"/>
      <c r="BZ63" s="797"/>
      <c r="CA63" s="226"/>
      <c r="CB63" s="226"/>
      <c r="CC63" s="226"/>
      <c r="CD63" s="226"/>
      <c r="CE63" s="797"/>
    </row>
    <row r="64" spans="2:83" ht="12.6" hidden="1" customHeight="1" outlineLevel="1">
      <c r="B64" s="407" t="s">
        <v>127</v>
      </c>
      <c r="C64" s="407"/>
      <c r="D64" s="227" t="s">
        <v>234</v>
      </c>
      <c r="E64" s="227" t="s">
        <v>233</v>
      </c>
      <c r="F64" s="227"/>
      <c r="G64" s="227" t="s">
        <v>193</v>
      </c>
      <c r="H64" s="227" t="str">
        <f>+G64</f>
        <v>6150+</v>
      </c>
      <c r="I64" s="227"/>
      <c r="J64" s="227"/>
      <c r="K64" s="227"/>
      <c r="L64" s="227" t="s">
        <v>194</v>
      </c>
      <c r="M64" s="227" t="str">
        <f>+L64</f>
        <v>6700+</v>
      </c>
      <c r="N64" s="227" t="s">
        <v>194</v>
      </c>
      <c r="O64" s="227" t="s">
        <v>194</v>
      </c>
      <c r="P64" s="227"/>
      <c r="Q64" s="227" t="s">
        <v>191</v>
      </c>
      <c r="R64" s="444" t="str">
        <f>+Q64</f>
        <v>7700+</v>
      </c>
      <c r="S64" s="227" t="s">
        <v>191</v>
      </c>
      <c r="T64" s="227"/>
      <c r="U64" s="227" t="s">
        <v>192</v>
      </c>
      <c r="V64" s="227" t="s">
        <v>188</v>
      </c>
      <c r="W64" s="444" t="str">
        <f>+V64</f>
        <v>8800+</v>
      </c>
      <c r="X64" s="227" t="s">
        <v>188</v>
      </c>
      <c r="Y64" s="227" t="s">
        <v>188</v>
      </c>
      <c r="Z64" s="227" t="s">
        <v>189</v>
      </c>
      <c r="AA64" s="227" t="s">
        <v>190</v>
      </c>
      <c r="AB64" s="444" t="str">
        <f>+AA64</f>
        <v>9300+</v>
      </c>
      <c r="AC64" s="227" t="s">
        <v>190</v>
      </c>
      <c r="AD64" s="227" t="s">
        <v>190</v>
      </c>
      <c r="AE64" s="227" t="s">
        <v>190</v>
      </c>
      <c r="AF64" s="444" t="s">
        <v>280</v>
      </c>
      <c r="AG64" s="444" t="str">
        <f>+AF64</f>
        <v>10300+</v>
      </c>
      <c r="AH64" s="444" t="s">
        <v>280</v>
      </c>
      <c r="AI64" s="444" t="s">
        <v>280</v>
      </c>
      <c r="AJ64" s="444" t="s">
        <v>280</v>
      </c>
      <c r="AK64" s="444" t="s">
        <v>357</v>
      </c>
      <c r="AL64" s="444" t="s">
        <v>357</v>
      </c>
      <c r="AM64" s="444" t="s">
        <v>357</v>
      </c>
      <c r="AN64" s="444" t="s">
        <v>357</v>
      </c>
      <c r="AO64" s="627"/>
      <c r="AP64" s="444"/>
      <c r="AQ64" s="444"/>
      <c r="AR64" s="227"/>
      <c r="AS64" s="227"/>
      <c r="AT64" s="227"/>
      <c r="AU64" s="227"/>
      <c r="AV64" s="444"/>
      <c r="AW64" s="227"/>
      <c r="AX64" s="227"/>
      <c r="AY64" s="227"/>
      <c r="AZ64" s="227"/>
      <c r="BA64" s="444"/>
      <c r="BB64" s="227"/>
      <c r="BC64" s="227"/>
      <c r="BD64" s="227"/>
      <c r="BE64" s="227"/>
      <c r="BF64" s="444"/>
      <c r="BG64" s="227"/>
      <c r="BH64" s="227"/>
      <c r="BI64" s="227"/>
      <c r="BJ64" s="227"/>
      <c r="BK64" s="798"/>
      <c r="BL64" s="227"/>
      <c r="BM64" s="227"/>
      <c r="BN64" s="227"/>
      <c r="BO64" s="227"/>
      <c r="BP64" s="798"/>
      <c r="BQ64" s="227"/>
      <c r="BR64" s="227"/>
      <c r="BS64" s="227"/>
      <c r="BT64" s="227"/>
      <c r="BU64" s="798"/>
      <c r="BV64" s="227"/>
      <c r="BW64" s="227"/>
      <c r="BX64" s="227"/>
      <c r="BY64" s="227"/>
      <c r="BZ64" s="798"/>
      <c r="CA64" s="227"/>
      <c r="CB64" s="227"/>
      <c r="CC64" s="227"/>
      <c r="CD64" s="227"/>
      <c r="CE64" s="798"/>
    </row>
    <row r="65" spans="2:83" ht="12.6" hidden="1" customHeight="1" outlineLevel="1">
      <c r="B65" s="415" t="s">
        <v>138</v>
      </c>
      <c r="C65" s="415"/>
      <c r="D65" s="783">
        <f>+'Billings &amp; Recs'!D94</f>
        <v>2296</v>
      </c>
      <c r="E65" s="783">
        <f>+'Billings &amp; Recs'!E94</f>
        <v>2462</v>
      </c>
      <c r="F65" s="783">
        <f>+'Billings &amp; Recs'!F94</f>
        <v>4599</v>
      </c>
      <c r="G65" s="783">
        <f>+'Billings &amp; Recs'!G94</f>
        <v>4441</v>
      </c>
      <c r="H65" s="783">
        <f>+'Billings &amp; Recs'!H94</f>
        <v>13798</v>
      </c>
      <c r="I65" s="783">
        <f>+'Billings &amp; Recs'!I94</f>
        <v>2795</v>
      </c>
      <c r="J65" s="783">
        <f>+'Billings &amp; Recs'!J94</f>
        <v>4475</v>
      </c>
      <c r="K65" s="783">
        <f>+'Billings &amp; Recs'!K94</f>
        <v>3302</v>
      </c>
      <c r="L65" s="783">
        <f>+'Billings &amp; Recs'!L94</f>
        <v>6855</v>
      </c>
      <c r="M65" s="783">
        <f>+'Billings &amp; Recs'!M94</f>
        <v>17427</v>
      </c>
      <c r="N65" s="783">
        <f>+'Billings &amp; Recs'!N94</f>
        <v>4670</v>
      </c>
      <c r="O65" s="783">
        <f>+'Billings &amp; Recs'!O94</f>
        <v>7247</v>
      </c>
      <c r="P65" s="783">
        <f>+'Billings &amp; Recs'!P94</f>
        <v>9045</v>
      </c>
      <c r="Q65" s="783">
        <f>+'Billings &amp; Recs'!Q94</f>
        <v>10731</v>
      </c>
      <c r="R65" s="784">
        <f>+'Billings &amp; Recs'!R94</f>
        <v>31693</v>
      </c>
      <c r="S65" s="783">
        <f>+'Billings &amp; Recs'!S94</f>
        <v>11977</v>
      </c>
      <c r="T65" s="783">
        <f>+'Billings &amp; Recs'!T94</f>
        <v>13098</v>
      </c>
      <c r="U65" s="783">
        <f>+'Billings &amp; Recs'!U94</f>
        <v>15137</v>
      </c>
      <c r="V65" s="783">
        <f>+'Billings &amp; Recs'!V94</f>
        <v>16448</v>
      </c>
      <c r="W65" s="784">
        <f>+'Billings &amp; Recs'!W94</f>
        <v>56660</v>
      </c>
      <c r="X65" s="783">
        <f>+'Billings &amp; Recs'!X94</f>
        <v>16128</v>
      </c>
      <c r="Y65" s="783">
        <f>+'Billings &amp; Recs'!Y94</f>
        <v>15744</v>
      </c>
      <c r="Z65" s="783">
        <f>+'Billings &amp; Recs'!Z94</f>
        <v>17626</v>
      </c>
      <c r="AA65" s="783">
        <f>+'Billings &amp; Recs'!AA94</f>
        <v>18468</v>
      </c>
      <c r="AB65" s="784">
        <f>+'Billings &amp; Recs'!AB94</f>
        <v>67966</v>
      </c>
      <c r="AC65" s="783">
        <f>+'Billings &amp; Recs'!AC94</f>
        <v>16808</v>
      </c>
      <c r="AD65" s="783">
        <f>+'Billings &amp; Recs'!AD94</f>
        <v>20419</v>
      </c>
      <c r="AE65" s="783">
        <f>+'Billings &amp; Recs'!AE94</f>
        <v>23863</v>
      </c>
      <c r="AF65" s="784">
        <f>+'Billings &amp; Recs'!AF94</f>
        <v>23842</v>
      </c>
      <c r="AG65" s="784">
        <f>+'Billings &amp; Recs'!AG94</f>
        <v>84932</v>
      </c>
      <c r="AH65" s="784">
        <f>+'Billings &amp; Recs'!AH94</f>
        <v>24618</v>
      </c>
      <c r="AI65" s="784">
        <f>+'Billings &amp; Recs'!AI94</f>
        <v>26734</v>
      </c>
      <c r="AJ65" s="784">
        <f>+'Billings &amp; Recs'!AJ94</f>
        <v>31888</v>
      </c>
      <c r="AK65" s="784">
        <f>+'Billings &amp; Recs'!AK94</f>
        <v>29141</v>
      </c>
      <c r="AL65" s="784">
        <f>+'Billings &amp; Recs'!AL94</f>
        <v>112381</v>
      </c>
      <c r="AM65" s="784">
        <f>+'Billings &amp; Recs'!AM94</f>
        <v>30625</v>
      </c>
      <c r="AN65" s="784">
        <f>+'Billings &amp; Recs'!AN94</f>
        <v>33376</v>
      </c>
      <c r="AO65" s="784">
        <f>+'Billings &amp; Recs'!AO94</f>
        <v>38609</v>
      </c>
      <c r="AP65" s="784">
        <f>+'Billings &amp; Recs'!AP94</f>
        <v>37574</v>
      </c>
      <c r="AQ65" s="784">
        <f>+'Billings &amp; Recs'!AQ94</f>
        <v>139599</v>
      </c>
      <c r="AR65" s="783">
        <f>+'Billings &amp; Recs'!AR94</f>
        <v>38175</v>
      </c>
      <c r="AS65" s="783">
        <f>+'Billings &amp; Recs'!AS94</f>
        <v>42838</v>
      </c>
      <c r="AT65" s="783">
        <f>+'Billings &amp; Recs'!AT94</f>
        <v>45134</v>
      </c>
      <c r="AU65" s="783">
        <f>+'Billings &amp; Recs'!AU94</f>
        <v>43386</v>
      </c>
      <c r="AV65" s="784">
        <f>+'Billings &amp; Recs'!AV94</f>
        <v>169503</v>
      </c>
      <c r="AW65" s="783">
        <f>+'Billings &amp; Recs'!AW94</f>
        <v>44575</v>
      </c>
      <c r="AX65" s="783">
        <f>+'Billings &amp; Recs'!AX94</f>
        <v>46706</v>
      </c>
      <c r="AY65" s="783">
        <f>+'Billings &amp; Recs'!AY94</f>
        <v>50323</v>
      </c>
      <c r="AZ65" s="783">
        <f>+'Billings &amp; Recs'!AZ94</f>
        <v>49555</v>
      </c>
      <c r="BA65" s="783">
        <f>+'Billings &amp; Recs'!BA94</f>
        <v>191159</v>
      </c>
      <c r="BB65" s="783">
        <f>+'Billings &amp; Recs'!BB94</f>
        <v>54262</v>
      </c>
      <c r="BC65" s="783">
        <f>+'Billings &amp; Recs'!BC94</f>
        <v>54384</v>
      </c>
      <c r="BD65" s="783">
        <f>+'Billings &amp; Recs'!BD94</f>
        <v>54858</v>
      </c>
      <c r="BE65" s="783">
        <f>+'Billings &amp; Recs'!BE94</f>
        <v>55074</v>
      </c>
      <c r="BF65" s="783">
        <f>+'Billings &amp; Recs'!BF94</f>
        <v>218577</v>
      </c>
      <c r="BG65" s="783">
        <f>+'Billings &amp; Recs'!BG94</f>
        <v>58655</v>
      </c>
      <c r="BH65" s="783">
        <f>+'Billings &amp; Recs'!BH94</f>
        <v>65834</v>
      </c>
      <c r="BI65" s="783">
        <f>+'Billings &amp; Recs'!BI94</f>
        <v>68811</v>
      </c>
      <c r="BJ65" s="783">
        <f>+'Billings &amp; Recs'!BJ94</f>
        <v>65839</v>
      </c>
      <c r="BK65" s="799">
        <f>+'Billings &amp; Recs'!BK94</f>
        <v>259139</v>
      </c>
      <c r="BL65" s="783">
        <f>+'Billings &amp; Recs'!BL94</f>
        <v>69031</v>
      </c>
      <c r="BM65" s="783">
        <f>+'Billings &amp; Recs'!BM94</f>
        <v>69934</v>
      </c>
      <c r="BN65" s="783">
        <f>+'Billings &amp; Recs'!BN94</f>
        <v>69682</v>
      </c>
      <c r="BO65" s="783">
        <f>+'Billings &amp; Recs'!BO94</f>
        <v>74195</v>
      </c>
      <c r="BP65" s="799">
        <f>+'Billings &amp; Recs'!BP94</f>
        <v>282842</v>
      </c>
      <c r="BQ65" s="783">
        <f>+'Billings &amp; Recs'!BQ94</f>
        <v>74752</v>
      </c>
      <c r="BR65" s="783">
        <f>+'Billings &amp; Recs'!BR94</f>
        <v>73431</v>
      </c>
      <c r="BS65" s="783">
        <f>+'Billings &amp; Recs'!BS94</f>
        <v>82600</v>
      </c>
      <c r="BT65" s="783">
        <f>+'Billings &amp; Recs'!BT94</f>
        <v>82626</v>
      </c>
      <c r="BU65" s="799">
        <f>+'Billings &amp; Recs'!BU94</f>
        <v>313409</v>
      </c>
      <c r="BV65" s="783">
        <f>+'Billings &amp; Recs'!BV94</f>
        <v>78517.658600000024</v>
      </c>
      <c r="BW65" s="783">
        <f>+'Billings &amp; Recs'!BW94</f>
        <v>77445.420484750037</v>
      </c>
      <c r="BX65" s="783">
        <f>+'Billings &amp; Recs'!BX94</f>
        <v>78557.458562024985</v>
      </c>
      <c r="BY65" s="783">
        <f>+'Billings &amp; Recs'!BY94</f>
        <v>78607.041528722519</v>
      </c>
      <c r="BZ65" s="799">
        <f>+'Billings &amp; Recs'!BZ94</f>
        <v>313127.57917549764</v>
      </c>
      <c r="CA65" s="783">
        <f>+'Billings &amp; Recs'!CA94</f>
        <v>81945.616667382405</v>
      </c>
      <c r="CB65" s="783">
        <f>+'Billings &amp; Recs'!CB94</f>
        <v>83440.806869978784</v>
      </c>
      <c r="CC65" s="783">
        <f>+'Billings &amp; Recs'!CC94</f>
        <v>86013.681766319394</v>
      </c>
      <c r="CD65" s="783">
        <f>+'Billings &amp; Recs'!CD94</f>
        <v>90164.232010316875</v>
      </c>
      <c r="CE65" s="799">
        <f>+'Billings &amp; Recs'!CE94</f>
        <v>341564.33731399744</v>
      </c>
    </row>
    <row r="66" spans="2:83" ht="12.6" hidden="1" customHeight="1" outlineLevel="1">
      <c r="B66" s="407" t="s">
        <v>198</v>
      </c>
      <c r="C66" s="407"/>
      <c r="D66" s="306">
        <f>+'Billings &amp; Recs'!D98</f>
        <v>0.10834788353546317</v>
      </c>
      <c r="E66" s="306">
        <f>+'Billings &amp; Recs'!E98</f>
        <v>0.11095087877422262</v>
      </c>
      <c r="F66" s="306">
        <f>+'Billings &amp; Recs'!F98</f>
        <v>0.19668976135488839</v>
      </c>
      <c r="G66" s="306">
        <f>+'Billings &amp; Recs'!G98</f>
        <v>0.18011112462992254</v>
      </c>
      <c r="H66" s="306">
        <f>+'Billings &amp; Recs'!H98</f>
        <v>0.15092977466637497</v>
      </c>
      <c r="I66" s="306">
        <f>+'Billings &amp; Recs'!I98</f>
        <v>0.11232568420206566</v>
      </c>
      <c r="J66" s="306">
        <f>+'Billings &amp; Recs'!J98</f>
        <v>0.17021033813852648</v>
      </c>
      <c r="K66" s="306">
        <f>+'Billings &amp; Recs'!K98</f>
        <v>0.11899527910915708</v>
      </c>
      <c r="L66" s="306">
        <f>+'Billings &amp; Recs'!L98</f>
        <v>0.23606184785977469</v>
      </c>
      <c r="M66" s="306">
        <f>+'Billings &amp; Recs'!M98</f>
        <v>0.16141790630036493</v>
      </c>
      <c r="N66" s="306">
        <f>+'Billings &amp; Recs'!N98</f>
        <v>0.15384108578205297</v>
      </c>
      <c r="O66" s="306">
        <f>+'Billings &amp; Recs'!O98</f>
        <v>0.22435143334778032</v>
      </c>
      <c r="P66" s="306">
        <f>+'Billings &amp; Recs'!P98</f>
        <v>0.26333410970071036</v>
      </c>
      <c r="Q66" s="306">
        <f>+'Billings &amp; Recs'!Q98</f>
        <v>0.29341317365269459</v>
      </c>
      <c r="R66" s="445">
        <f>+'Billings &amp; Recs'!R98</f>
        <v>0.23726034780916161</v>
      </c>
      <c r="S66" s="306">
        <f>+'Billings &amp; Recs'!S98</f>
        <v>0.31944629664203983</v>
      </c>
      <c r="T66" s="306">
        <f>+'Billings &amp; Recs'!T98</f>
        <v>0.32846001454472501</v>
      </c>
      <c r="U66" s="306">
        <f>+'Billings &amp; Recs'!U98</f>
        <v>0.35642468624172924</v>
      </c>
      <c r="V66" s="306">
        <f>+'Billings &amp; Recs'!V98</f>
        <v>0.37007537405782426</v>
      </c>
      <c r="W66" s="445">
        <f>+'Billings &amp; Recs'!W98</f>
        <v>0.34489055537970831</v>
      </c>
      <c r="X66" s="306">
        <f>+'Billings &amp; Recs'!X98</f>
        <v>0.3487285936689154</v>
      </c>
      <c r="Y66" s="306">
        <f>+'Billings &amp; Recs'!Y98</f>
        <v>0.32484628399290222</v>
      </c>
      <c r="Z66" s="306">
        <f>+'Billings &amp; Recs'!Z98</f>
        <v>0.34569596171573147</v>
      </c>
      <c r="AA66" s="306">
        <f>+'Billings &amp; Recs'!AA98</f>
        <v>0.35363051470588236</v>
      </c>
      <c r="AB66" s="445">
        <f>+'Billings &amp; Recs'!AB98</f>
        <v>0.34339269925476823</v>
      </c>
      <c r="AC66" s="306">
        <f>+'Billings &amp; Recs'!AC98</f>
        <v>0.31640970614258013</v>
      </c>
      <c r="AD66" s="306">
        <f>+'Billings &amp; Recs'!AD98</f>
        <v>0.36922715272503709</v>
      </c>
      <c r="AE66" s="306">
        <f>+'Billings &amp; Recs'!AE98</f>
        <v>0.40112623970415195</v>
      </c>
      <c r="AF66" s="445">
        <f>+'Billings &amp; Recs'!AF98</f>
        <v>0.37895573392672655</v>
      </c>
      <c r="AG66" s="445">
        <f>+'Billings &amp; Recs'!AG98</f>
        <v>0.36794496334933369</v>
      </c>
      <c r="AH66" s="445">
        <f>+'Billings &amp; Recs'!AH98</f>
        <v>0.37945066124109866</v>
      </c>
      <c r="AI66" s="445">
        <f>+'Billings &amp; Recs'!AI98</f>
        <v>0.39226446378002433</v>
      </c>
      <c r="AJ66" s="445">
        <f>+'Billings &amp; Recs'!AJ98</f>
        <v>0.44500265148343521</v>
      </c>
      <c r="AK66" s="445">
        <f>+'Billings &amp; Recs'!AK98</f>
        <v>0.39273584905660375</v>
      </c>
      <c r="AL66" s="445">
        <f>+'Billings &amp; Recs'!AL98</f>
        <v>0.40295960041450185</v>
      </c>
      <c r="AM66" s="445">
        <f>+'Billings &amp; Recs'!AM98</f>
        <v>0.40647439045432221</v>
      </c>
      <c r="AN66" s="445">
        <f>+'Billings &amp; Recs'!AN98</f>
        <v>0.42286105233817733</v>
      </c>
      <c r="AO66" s="445">
        <f>+'Billings &amp; Recs'!AO98</f>
        <v>0.46701987395821992</v>
      </c>
      <c r="AP66" s="445">
        <f>+'Billings &amp; Recs'!AP98</f>
        <v>0.44380137957101012</v>
      </c>
      <c r="AQ66" s="445">
        <f>+'Billings &amp; Recs'!AQ98</f>
        <v>0.43406704456059725</v>
      </c>
      <c r="AR66" s="306">
        <f>+'Billings &amp; Recs'!AR98</f>
        <v>0.44254199367051922</v>
      </c>
      <c r="AS66" s="306">
        <f>+'Billings &amp; Recs'!AS98</f>
        <v>0.48224698862996734</v>
      </c>
      <c r="AT66" s="306">
        <f>+'Billings &amp; Recs'!AT98</f>
        <v>0.48495202484178407</v>
      </c>
      <c r="AU66" s="306">
        <f>+'Billings &amp; Recs'!AU98</f>
        <v>0.45765340028058776</v>
      </c>
      <c r="AV66" s="445">
        <f>+'Billings &amp; Recs'!AV98</f>
        <v>0.46699801357163129</v>
      </c>
      <c r="AW66" s="306">
        <f>+'Billings &amp; Recs'!AW98</f>
        <v>0.46069494398280209</v>
      </c>
      <c r="AX66" s="306">
        <f>+'Billings &amp; Recs'!AX98</f>
        <v>0.4684559988766524</v>
      </c>
      <c r="AY66" s="306">
        <f>+'Billings &amp; Recs'!AY98</f>
        <v>0.47956810947833878</v>
      </c>
      <c r="AZ66" s="306">
        <f>+'Billings &amp; Recs'!AZ98</f>
        <v>0.45140280561122242</v>
      </c>
      <c r="BA66" s="306">
        <f>+'Billings &amp; Recs'!BA98</f>
        <v>0.46491249404142304</v>
      </c>
      <c r="BB66" s="306">
        <f>+'Billings &amp; Recs'!BB98</f>
        <v>0.47841650502556871</v>
      </c>
      <c r="BC66" s="306">
        <f>+'Billings &amp; Recs'!BC98</f>
        <v>0.45360446398038251</v>
      </c>
      <c r="BD66" s="306">
        <f>+'Billings &amp; Recs'!BD98</f>
        <v>0.43690317853473609</v>
      </c>
      <c r="BE66" s="306">
        <f>+'Billings &amp; Recs'!BE98</f>
        <v>0.4208973702512056</v>
      </c>
      <c r="BF66" s="306">
        <f>+'Billings &amp; Recs'!BF98</f>
        <v>0.44632782205450838</v>
      </c>
      <c r="BG66" s="626">
        <f>+'Billings &amp; Recs'!BG98</f>
        <v>0.44883420184721806</v>
      </c>
      <c r="BH66" s="626">
        <f>+'Billings &amp; Recs'!BH98</f>
        <v>0.47980817584852303</v>
      </c>
      <c r="BI66" s="626">
        <f>+'Billings &amp; Recs'!BI98</f>
        <v>0.48459815769458292</v>
      </c>
      <c r="BJ66" s="626">
        <f>+'Billings &amp; Recs'!BJ98</f>
        <v>0.4554126028913329</v>
      </c>
      <c r="BK66" s="800">
        <f>+'Billings &amp; Recs'!BK98</f>
        <v>0.46737354317189039</v>
      </c>
      <c r="BL66" s="626">
        <f>+'Billings &amp; Recs'!BL98</f>
        <v>0.4734474126401701</v>
      </c>
      <c r="BM66" s="626">
        <f>+'Billings &amp; Recs'!BM98</f>
        <v>0.47027732200016137</v>
      </c>
      <c r="BN66" s="626">
        <f>+'Billings &amp; Recs'!BN98</f>
        <v>0.45287163589333645</v>
      </c>
      <c r="BO66" s="626">
        <f>+'Billings &amp; Recs'!BO98</f>
        <v>0.46607534345534607</v>
      </c>
      <c r="BP66" s="800">
        <f>+'Billings &amp; Recs'!BP98</f>
        <v>0.46552913157474601</v>
      </c>
      <c r="BQ66" s="626">
        <f>+'Billings &amp; Recs'!BQ98</f>
        <v>0.46749510628584295</v>
      </c>
      <c r="BR66" s="626">
        <f>+'Billings &amp; Recs'!BR98</f>
        <v>0.44758079262717754</v>
      </c>
      <c r="BS66" s="626">
        <f>+'Billings &amp; Recs'!BS98</f>
        <v>0.48621984671713309</v>
      </c>
      <c r="BT66" s="626">
        <f>+'Billings &amp; Recs'!BT98</f>
        <v>0.47138896178729134</v>
      </c>
      <c r="BU66" s="800">
        <f>+'Billings &amp; Recs'!BU98</f>
        <v>0.46838632542499531</v>
      </c>
      <c r="BV66" s="626">
        <f>+'Billings &amp; Recs'!BV98</f>
        <v>0.45257634895852905</v>
      </c>
      <c r="BW66" s="626">
        <f>+'Billings &amp; Recs'!BW98</f>
        <v>0.43708307024822834</v>
      </c>
      <c r="BX66" s="626">
        <f>+'Billings &amp; Recs'!BX98</f>
        <v>0.43016155707545833</v>
      </c>
      <c r="BY66" s="626">
        <f>+'Billings &amp; Recs'!BY98</f>
        <v>0.41912189952875145</v>
      </c>
      <c r="BZ66" s="800">
        <f>+'Billings &amp; Recs'!BZ98</f>
        <v>0.43438523311777011</v>
      </c>
      <c r="CA66" s="626">
        <f>+'Billings &amp; Recs'!CA98</f>
        <v>0.43734733695989503</v>
      </c>
      <c r="CB66" s="626">
        <f>+'Billings &amp; Recs'!CB98</f>
        <v>0.44011174691019733</v>
      </c>
      <c r="CC66" s="626">
        <f>+'Billings &amp; Recs'!CC98</f>
        <v>0.44433021113924781</v>
      </c>
      <c r="CD66" s="626">
        <f>+'Billings &amp; Recs'!CD98</f>
        <v>0.45353136279166473</v>
      </c>
      <c r="CE66" s="800">
        <f>+'Billings &amp; Recs'!CE98</f>
        <v>0.44396766383007036</v>
      </c>
    </row>
    <row r="67" spans="2:83" ht="12.6" hidden="1" customHeight="1" outlineLevel="1">
      <c r="B67" s="407" t="s">
        <v>224</v>
      </c>
      <c r="C67" s="407"/>
      <c r="D67" s="306"/>
      <c r="E67" s="306"/>
      <c r="F67" s="306"/>
      <c r="G67" s="306"/>
      <c r="H67" s="227">
        <f>+CF!H68</f>
        <v>8363</v>
      </c>
      <c r="I67" s="306"/>
      <c r="J67" s="306"/>
      <c r="K67" s="306"/>
      <c r="L67" s="306"/>
      <c r="M67" s="227">
        <f>+CF!M68</f>
        <v>10297</v>
      </c>
      <c r="N67" s="227">
        <f>+CF!N68</f>
        <v>11030</v>
      </c>
      <c r="O67" s="227">
        <f>+CF!O68</f>
        <v>-2886</v>
      </c>
      <c r="P67" s="227">
        <f>+CF!P68</f>
        <v>5884</v>
      </c>
      <c r="Q67" s="227">
        <f>+CF!Q68</f>
        <v>12676</v>
      </c>
      <c r="R67" s="444">
        <f>+CF!R68</f>
        <v>26704</v>
      </c>
      <c r="S67" s="227">
        <f>+CF!S68</f>
        <v>3878</v>
      </c>
      <c r="T67" s="227">
        <f>+CF!T68</f>
        <v>11265</v>
      </c>
      <c r="U67" s="227">
        <f>+CF!U68</f>
        <v>11660</v>
      </c>
      <c r="V67" s="227">
        <f>+CF!V68</f>
        <v>19106</v>
      </c>
      <c r="W67" s="444">
        <f>+CF!W68</f>
        <v>45909</v>
      </c>
      <c r="X67" s="227">
        <f>+CF!X68</f>
        <v>12957</v>
      </c>
      <c r="Y67" s="227">
        <f>+CF!Y68</f>
        <v>12538</v>
      </c>
      <c r="Z67" s="227">
        <f>+CF!Z68</f>
        <v>10400</v>
      </c>
      <c r="AA67" s="227">
        <f>+CF!AA68</f>
        <v>8970</v>
      </c>
      <c r="AB67" s="444">
        <f>+CF!AB68</f>
        <v>44865</v>
      </c>
      <c r="AC67" s="227">
        <f>+CF!AC68</f>
        <v>27882</v>
      </c>
      <c r="AD67" s="227">
        <f>+CF!AD68</f>
        <v>7881</v>
      </c>
      <c r="AE67" s="227">
        <f>+CF!AE68</f>
        <v>19404</v>
      </c>
      <c r="AF67" s="444">
        <f>+CF!AF68</f>
        <v>14661</v>
      </c>
      <c r="AG67" s="444">
        <f>+CF!AG68</f>
        <v>69828</v>
      </c>
      <c r="AH67" s="444">
        <f>+CF!AH68</f>
        <v>36257</v>
      </c>
      <c r="AI67" s="444">
        <f>+CF!AI68</f>
        <v>16936</v>
      </c>
      <c r="AJ67" s="444">
        <f>+CF!AJ68</f>
        <v>24928</v>
      </c>
      <c r="AK67" s="444">
        <f>+CF!AK68</f>
        <v>22952</v>
      </c>
      <c r="AL67" s="444">
        <f>+CF!AL68</f>
        <v>101073</v>
      </c>
      <c r="AM67" s="444">
        <f>+CF!AM68</f>
        <v>35320</v>
      </c>
      <c r="AN67" s="444">
        <f>+CF!AN68</f>
        <v>30981</v>
      </c>
      <c r="AO67" s="444">
        <f>+CF!AO68</f>
        <v>39902</v>
      </c>
      <c r="AP67" s="444">
        <f>+CF!AP68</f>
        <v>25122</v>
      </c>
      <c r="AQ67" s="444">
        <f>+CF!AQ68</f>
        <v>131325</v>
      </c>
      <c r="AR67" s="227">
        <f>+CF!AR68</f>
        <v>45134</v>
      </c>
      <c r="AS67" s="227">
        <f>+CF!AS68</f>
        <v>24886</v>
      </c>
      <c r="AT67" s="227">
        <f>+CF!AT68</f>
        <v>48443</v>
      </c>
      <c r="AU67" s="227">
        <f>+CF!AU68</f>
        <v>31472</v>
      </c>
      <c r="AV67" s="444">
        <f>+CF!AV68</f>
        <v>149935</v>
      </c>
      <c r="AW67" s="227">
        <f>+CF!AW68</f>
        <v>51595</v>
      </c>
      <c r="AX67" s="227">
        <f>+CF!AX68</f>
        <v>47644</v>
      </c>
      <c r="AY67" s="227">
        <f>+CF!AY68</f>
        <v>41323</v>
      </c>
      <c r="AZ67" s="227">
        <f>+CF!AZ68</f>
        <v>35540</v>
      </c>
      <c r="BA67" s="227">
        <f>+CF!BA68</f>
        <v>176102</v>
      </c>
      <c r="BB67" s="227">
        <f>+CF!BB68</f>
        <v>71401</v>
      </c>
      <c r="BC67" s="227">
        <f>+CF!BC68</f>
        <v>30300</v>
      </c>
      <c r="BD67" s="227">
        <f>+CF!BD68</f>
        <v>40918</v>
      </c>
      <c r="BE67" s="227">
        <f>+CF!BE68</f>
        <v>40874</v>
      </c>
      <c r="BF67" s="227">
        <f>+CF!BF68</f>
        <v>183493</v>
      </c>
      <c r="BG67" s="227">
        <f>+CF!BG68</f>
        <v>62776</v>
      </c>
      <c r="BH67" s="227">
        <f>+CF!BH68</f>
        <v>50097</v>
      </c>
      <c r="BI67" s="227">
        <f>+CF!BI68</f>
        <v>90630</v>
      </c>
      <c r="BJ67" s="227">
        <f>+CF!BJ68</f>
        <v>32316</v>
      </c>
      <c r="BK67" s="801">
        <f>+CF!BK68</f>
        <v>235819</v>
      </c>
      <c r="BL67" s="227">
        <f>+CF!BL68</f>
        <v>83454</v>
      </c>
      <c r="BM67" s="227">
        <f>+CF!BM68</f>
        <v>48798</v>
      </c>
      <c r="BN67" s="227">
        <f>+CF!BN68</f>
        <v>57623</v>
      </c>
      <c r="BO67" s="227">
        <f>+CF!BO68</f>
        <v>41885</v>
      </c>
      <c r="BP67" s="801">
        <f>+CF!BP68</f>
        <v>231760</v>
      </c>
      <c r="BQ67" s="227">
        <f>+CF!BQ68</f>
        <v>107550</v>
      </c>
      <c r="BR67" s="227">
        <f>+CF!BR68</f>
        <v>32444</v>
      </c>
      <c r="BS67" s="227">
        <f>+CF!BS68</f>
        <v>89481</v>
      </c>
      <c r="BT67" s="227">
        <f>+CF!BT68</f>
        <v>74935</v>
      </c>
      <c r="BU67" s="801">
        <f>+CF!BU68</f>
        <v>304410</v>
      </c>
      <c r="BV67" s="227">
        <f>+CF!BV68</f>
        <v>108271.96481483337</v>
      </c>
      <c r="BW67" s="227">
        <f>+CF!BW68</f>
        <v>41267.12610741672</v>
      </c>
      <c r="BX67" s="227">
        <f>+CF!BX68</f>
        <v>86612.653384219404</v>
      </c>
      <c r="BY67" s="227">
        <f>+CF!BY68</f>
        <v>61535.083154537693</v>
      </c>
      <c r="BZ67" s="801">
        <f>+CF!BZ68</f>
        <v>297686.82746100728</v>
      </c>
      <c r="CA67" s="227">
        <f>+CF!CA68</f>
        <v>117682.98894292829</v>
      </c>
      <c r="CB67" s="227">
        <f>+CF!CB68</f>
        <v>32869.123710888263</v>
      </c>
      <c r="CC67" s="227">
        <f>+CF!CC68</f>
        <v>108061.40939251539</v>
      </c>
      <c r="CD67" s="227">
        <f>+CF!CD68</f>
        <v>66559.543550155446</v>
      </c>
      <c r="CE67" s="801">
        <f>+CF!CE68</f>
        <v>325173.06559648731</v>
      </c>
    </row>
    <row r="68" spans="2:83" ht="12.6" hidden="1" customHeight="1" outlineLevel="1">
      <c r="B68" s="407" t="s">
        <v>225</v>
      </c>
      <c r="C68" s="407"/>
      <c r="D68" s="306"/>
      <c r="E68" s="306"/>
      <c r="F68" s="306"/>
      <c r="G68" s="306"/>
      <c r="H68" s="306">
        <f>+CF!H71</f>
        <v>9.1478888645810538E-2</v>
      </c>
      <c r="I68" s="306"/>
      <c r="J68" s="306"/>
      <c r="K68" s="306"/>
      <c r="L68" s="306"/>
      <c r="M68" s="306">
        <f>+CF!M71</f>
        <v>9.5376150867897955E-2</v>
      </c>
      <c r="N68" s="306">
        <f>+CF!N71</f>
        <v>0.36335485571221504</v>
      </c>
      <c r="O68" s="306">
        <f>+CF!O71</f>
        <v>-8.9344313045631854E-2</v>
      </c>
      <c r="P68" s="306">
        <f>+CF!P71</f>
        <v>0.17130546174449748</v>
      </c>
      <c r="Q68" s="306">
        <f>+CF!Q71</f>
        <v>0.34659448226834005</v>
      </c>
      <c r="R68" s="445">
        <f>+CF!R71</f>
        <v>0.19991166276136219</v>
      </c>
      <c r="S68" s="306">
        <f>+CF!S71</f>
        <v>0.10343264075960847</v>
      </c>
      <c r="T68" s="306">
        <f>+CF!T71</f>
        <v>0.28249366802918974</v>
      </c>
      <c r="U68" s="306">
        <f>+CF!U71</f>
        <v>0.27455320351315077</v>
      </c>
      <c r="V68" s="306">
        <f>+CF!V71</f>
        <v>0.42987962650466871</v>
      </c>
      <c r="W68" s="445">
        <f>+CF!W71</f>
        <v>0.27944900294611769</v>
      </c>
      <c r="X68" s="306">
        <f>+CF!X71</f>
        <v>0.28016346652828228</v>
      </c>
      <c r="Y68" s="306">
        <f>+CF!Y71</f>
        <v>0.2586968183881484</v>
      </c>
      <c r="Z68" s="306">
        <f>+CF!Z71</f>
        <v>0.20397356188832447</v>
      </c>
      <c r="AA68" s="306">
        <f>+CF!AA71</f>
        <v>0.17176011029411764</v>
      </c>
      <c r="AB68" s="445">
        <f>+CF!AB71</f>
        <v>0.22667677150435772</v>
      </c>
      <c r="AC68" s="306">
        <f>+CF!AC71</f>
        <v>0.52487716722200262</v>
      </c>
      <c r="AD68" s="306">
        <f>+CF!AD71</f>
        <v>0.14250840837582729</v>
      </c>
      <c r="AE68" s="306">
        <f>+CF!AE71</f>
        <v>0.32617246596066568</v>
      </c>
      <c r="AF68" s="445">
        <f>+CF!AF71</f>
        <v>0.23302868950170866</v>
      </c>
      <c r="AG68" s="445">
        <f>+CF!AG71</f>
        <v>0.30251096054204862</v>
      </c>
      <c r="AH68" s="445">
        <f>+CF!AH71</f>
        <v>0.55884891642775669</v>
      </c>
      <c r="AI68" s="445">
        <f>+CF!AI71</f>
        <v>0.24849969920619783</v>
      </c>
      <c r="AJ68" s="445">
        <f>+CF!AJ71</f>
        <v>0.34787462669904268</v>
      </c>
      <c r="AK68" s="445">
        <f>+CF!AK71</f>
        <v>0.30932614555256066</v>
      </c>
      <c r="AL68" s="445">
        <f>+CF!AL71</f>
        <v>0.36241300302270796</v>
      </c>
      <c r="AM68" s="445">
        <f>+CF!AM71</f>
        <v>0.46878940312968692</v>
      </c>
      <c r="AN68" s="445">
        <f>+CF!AN71</f>
        <v>0.39251732569777903</v>
      </c>
      <c r="AO68" s="445">
        <f>+CF!AO71</f>
        <v>0.48266018313556142</v>
      </c>
      <c r="AP68" s="445">
        <f>+CF!AP71</f>
        <v>0.29672588113011433</v>
      </c>
      <c r="AQ68" s="445">
        <f>+CF!AQ71</f>
        <v>0.40833999259966358</v>
      </c>
      <c r="AR68" s="306">
        <f>+CF!AR71</f>
        <v>0.52321389239882687</v>
      </c>
      <c r="AS68" s="306">
        <f>+CF!AS71</f>
        <v>0.28015310142969718</v>
      </c>
      <c r="AT68" s="306">
        <f>+CF!AT71</f>
        <v>0.52050629103138535</v>
      </c>
      <c r="AU68" s="306">
        <f>+CF!AU71</f>
        <v>0.3319796204681385</v>
      </c>
      <c r="AV68" s="445">
        <f>+CF!AV71</f>
        <v>0.41308618233814465</v>
      </c>
      <c r="AW68" s="306">
        <f>+CF!AW71</f>
        <v>0.53324858406713793</v>
      </c>
      <c r="AX68" s="306">
        <f>+CF!AX71</f>
        <v>0.47786403482377487</v>
      </c>
      <c r="AY68" s="306">
        <f>+CF!AY71</f>
        <v>0.39379991232584294</v>
      </c>
      <c r="AZ68" s="306">
        <f>+CF!AZ71</f>
        <v>0.32373838586263437</v>
      </c>
      <c r="BA68" s="306">
        <f>+CF!BA71</f>
        <v>0.42829278258247155</v>
      </c>
      <c r="BB68" s="306">
        <f>+CF!BB71</f>
        <v>0.62952742020807617</v>
      </c>
      <c r="BC68" s="306">
        <f>+CF!BC71</f>
        <v>0.25272534676753439</v>
      </c>
      <c r="BD68" s="306">
        <f>+CF!BD71</f>
        <v>0.32588144407897357</v>
      </c>
      <c r="BE68" s="306">
        <f>+CF!BE71</f>
        <v>0.31237533339956747</v>
      </c>
      <c r="BF68" s="306">
        <f>+CF!BF71</f>
        <v>0.37468732324191428</v>
      </c>
      <c r="BG68" s="626">
        <f>+CF!BG71</f>
        <v>0.48036852536290109</v>
      </c>
      <c r="BH68" s="626">
        <f>+CF!BH71</f>
        <v>0.36511453330320898</v>
      </c>
      <c r="BI68" s="626">
        <f>+CF!BI71</f>
        <v>0.63825741570185079</v>
      </c>
      <c r="BJ68" s="626">
        <f>+CF!BJ71</f>
        <v>0.22353185308155218</v>
      </c>
      <c r="BK68" s="800">
        <f>+CF!BK71</f>
        <v>0.42531445122984968</v>
      </c>
      <c r="BL68" s="626">
        <f>+CF!BL71</f>
        <v>0.57236720277082409</v>
      </c>
      <c r="BM68" s="626">
        <f>+CF!BM71</f>
        <v>0.32814643462355758</v>
      </c>
      <c r="BN68" s="626">
        <f>+CF!BN71</f>
        <v>0.37449875541864075</v>
      </c>
      <c r="BO68" s="626">
        <f>+CF!BO71</f>
        <v>0.26311160806829531</v>
      </c>
      <c r="BP68" s="800">
        <f>+CF!BP71</f>
        <v>0.38145336100636795</v>
      </c>
      <c r="BQ68" s="626">
        <f>+CF!BQ71</f>
        <v>0.67261208637952707</v>
      </c>
      <c r="BR68" s="626">
        <f>+CF!BR71</f>
        <v>0.19775450744230841</v>
      </c>
      <c r="BS68" s="626">
        <f>+CF!BS71</f>
        <v>0.52672443225297561</v>
      </c>
      <c r="BT68" s="626">
        <f>+CF!BT71</f>
        <v>0.42751109640465079</v>
      </c>
      <c r="BU68" s="800">
        <f>+CF!BU71</f>
        <v>0.4549374182701289</v>
      </c>
      <c r="BV68" s="626">
        <f>+CF!BV71</f>
        <v>0.62408038400757393</v>
      </c>
      <c r="BW68" s="626">
        <f>+CF!BW71</f>
        <v>0.23290159787953196</v>
      </c>
      <c r="BX68" s="626">
        <f>+CF!BX71</f>
        <v>0.47426984686344204</v>
      </c>
      <c r="BY68" s="626">
        <f>+CF!BY71</f>
        <v>0.32809657300186973</v>
      </c>
      <c r="BZ68" s="800">
        <f>+CF!BZ71</f>
        <v>0.41296509966713807</v>
      </c>
      <c r="CA68" s="626">
        <f>+CF!CA71</f>
        <v>0.62807925442285306</v>
      </c>
      <c r="CB68" s="626">
        <f>+CF!CB71</f>
        <v>0.17336945792420405</v>
      </c>
      <c r="CC68" s="626">
        <f>+CF!CC71</f>
        <v>0.55822455062239185</v>
      </c>
      <c r="CD68" s="626">
        <f>+CF!CD71</f>
        <v>0.33479839865590033</v>
      </c>
      <c r="CE68" s="800">
        <f>+CF!CE71</f>
        <v>0.4226621766446883</v>
      </c>
    </row>
    <row r="69" spans="2:83" ht="12.6" hidden="1" customHeight="1" outlineLevel="1">
      <c r="B69" s="407" t="s">
        <v>137</v>
      </c>
      <c r="C69" s="407"/>
      <c r="D69" s="216">
        <v>313</v>
      </c>
      <c r="E69" s="216">
        <v>334</v>
      </c>
      <c r="F69" s="216">
        <v>346</v>
      </c>
      <c r="G69" s="216">
        <v>359</v>
      </c>
      <c r="H69" s="216">
        <f>+G69</f>
        <v>359</v>
      </c>
      <c r="I69" s="216">
        <v>363</v>
      </c>
      <c r="J69" s="216">
        <v>376</v>
      </c>
      <c r="K69" s="216">
        <v>382</v>
      </c>
      <c r="L69" s="216">
        <v>406</v>
      </c>
      <c r="M69" s="216">
        <f>+L69</f>
        <v>406</v>
      </c>
      <c r="N69" s="216">
        <v>414</v>
      </c>
      <c r="O69" s="216">
        <v>419</v>
      </c>
      <c r="P69" s="216">
        <v>418</v>
      </c>
      <c r="Q69" s="216">
        <v>431</v>
      </c>
      <c r="R69" s="427">
        <f>+Q69</f>
        <v>431</v>
      </c>
      <c r="S69" s="216">
        <v>464</v>
      </c>
      <c r="T69" s="216">
        <v>483</v>
      </c>
      <c r="U69" s="216">
        <v>497</v>
      </c>
      <c r="V69" s="216">
        <v>510</v>
      </c>
      <c r="W69" s="427">
        <f>+V69</f>
        <v>510</v>
      </c>
      <c r="X69" s="216">
        <v>540</v>
      </c>
      <c r="Y69" s="216">
        <v>602</v>
      </c>
      <c r="Z69" s="216">
        <v>661</v>
      </c>
      <c r="AA69" s="216">
        <v>684</v>
      </c>
      <c r="AB69" s="427">
        <f>+AA69</f>
        <v>684</v>
      </c>
      <c r="AC69" s="216">
        <v>721</v>
      </c>
      <c r="AD69" s="216">
        <v>772</v>
      </c>
      <c r="AE69" s="216">
        <v>832</v>
      </c>
      <c r="AF69" s="427">
        <v>869</v>
      </c>
      <c r="AG69" s="427">
        <f>+AF69</f>
        <v>869</v>
      </c>
      <c r="AH69" s="427">
        <v>934</v>
      </c>
      <c r="AI69" s="427">
        <v>1024</v>
      </c>
      <c r="AJ69" s="427"/>
      <c r="AK69" s="427"/>
      <c r="AL69" s="427"/>
      <c r="AM69" s="427"/>
      <c r="AN69" s="427"/>
      <c r="AO69" s="427"/>
      <c r="AP69" s="427"/>
      <c r="AQ69" s="427"/>
      <c r="AR69" s="216"/>
      <c r="AS69" s="216"/>
      <c r="AT69" s="216"/>
      <c r="AU69" s="216">
        <f>1498</f>
        <v>1498</v>
      </c>
      <c r="AV69" s="427">
        <f>AU69</f>
        <v>1498</v>
      </c>
      <c r="AW69" s="216">
        <f>1535</f>
        <v>1535</v>
      </c>
      <c r="AX69" s="216">
        <f>1626</f>
        <v>1626</v>
      </c>
      <c r="AY69" s="216">
        <f>1759</f>
        <v>1759</v>
      </c>
      <c r="AZ69" s="216">
        <f>1823</f>
        <v>1823</v>
      </c>
      <c r="BA69" s="427">
        <f>AZ69</f>
        <v>1823</v>
      </c>
      <c r="BB69" s="216">
        <v>1876</v>
      </c>
      <c r="BC69" s="216">
        <f>1962</f>
        <v>1962</v>
      </c>
      <c r="BD69" s="216">
        <f>2071</f>
        <v>2071</v>
      </c>
      <c r="BE69" s="216">
        <f>2143</f>
        <v>2143</v>
      </c>
      <c r="BF69" s="427">
        <f>BE69</f>
        <v>2143</v>
      </c>
      <c r="BG69" s="216">
        <f>2143</f>
        <v>2143</v>
      </c>
      <c r="BH69" s="216">
        <f>2140</f>
        <v>2140</v>
      </c>
      <c r="BI69" s="216">
        <v>2155</v>
      </c>
      <c r="BJ69" s="216">
        <v>2188</v>
      </c>
      <c r="BK69" s="796">
        <f>BJ69</f>
        <v>2188</v>
      </c>
      <c r="BL69" s="216">
        <v>2210</v>
      </c>
      <c r="BM69" s="216">
        <v>2269</v>
      </c>
      <c r="BN69" s="216">
        <v>2378</v>
      </c>
      <c r="BO69" s="216">
        <f>2400</f>
        <v>2400</v>
      </c>
      <c r="BP69" s="796">
        <f>BO69</f>
        <v>2400</v>
      </c>
      <c r="BQ69" s="216">
        <f>2443</f>
        <v>2443</v>
      </c>
      <c r="BR69" s="216"/>
      <c r="BS69" s="216"/>
      <c r="BT69" s="216"/>
      <c r="BU69" s="796"/>
      <c r="BV69" s="216"/>
      <c r="BW69" s="216"/>
      <c r="BX69" s="216"/>
      <c r="BY69" s="216"/>
      <c r="BZ69" s="796"/>
      <c r="CA69" s="216"/>
      <c r="CB69" s="216"/>
      <c r="CC69" s="216"/>
      <c r="CD69" s="216"/>
      <c r="CE69" s="796"/>
    </row>
    <row r="70" spans="2:83" ht="12.6" hidden="1" customHeight="1" outlineLevel="1">
      <c r="B70" s="407"/>
      <c r="C70" s="407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427"/>
      <c r="S70" s="216"/>
      <c r="T70" s="216"/>
      <c r="U70" s="216"/>
      <c r="V70" s="216"/>
      <c r="W70" s="427"/>
      <c r="X70" s="216"/>
      <c r="Y70" s="216"/>
      <c r="Z70" s="216"/>
      <c r="AA70" s="216"/>
      <c r="AB70" s="427"/>
      <c r="AC70" s="216"/>
      <c r="AD70" s="216"/>
      <c r="AE70" s="216"/>
      <c r="AF70" s="427"/>
      <c r="AG70" s="427"/>
      <c r="AH70" s="427"/>
      <c r="AI70" s="427"/>
      <c r="AJ70" s="427"/>
      <c r="AK70" s="427"/>
      <c r="AL70" s="427"/>
      <c r="AM70" s="427"/>
      <c r="AN70" s="427"/>
      <c r="AO70" s="427"/>
      <c r="AP70" s="427"/>
      <c r="AQ70" s="427"/>
      <c r="AR70" s="216"/>
      <c r="AS70" s="216"/>
      <c r="AT70" s="216"/>
      <c r="AU70" s="216"/>
      <c r="AV70" s="427"/>
      <c r="AW70" s="216"/>
      <c r="AX70" s="216"/>
      <c r="AY70" s="216"/>
      <c r="AZ70" s="216"/>
      <c r="BA70" s="427"/>
      <c r="BB70" s="216"/>
      <c r="BC70" s="216"/>
      <c r="BD70" s="216"/>
      <c r="BE70" s="216"/>
      <c r="BF70" s="427"/>
      <c r="BG70" s="216"/>
      <c r="BH70" s="216"/>
      <c r="BI70" s="216"/>
      <c r="BJ70" s="216"/>
      <c r="BK70" s="427"/>
      <c r="BL70" s="216"/>
      <c r="BM70" s="216"/>
      <c r="BN70" s="282"/>
      <c r="BO70" s="216"/>
      <c r="BP70" s="427"/>
      <c r="BQ70" s="216"/>
      <c r="BR70" s="216"/>
      <c r="BS70" s="216"/>
      <c r="BT70" s="216"/>
      <c r="BU70" s="427"/>
      <c r="BV70" s="216"/>
      <c r="BW70" s="216"/>
      <c r="BX70" s="216"/>
      <c r="BY70" s="216"/>
      <c r="BZ70" s="427"/>
      <c r="CA70" s="216"/>
      <c r="CB70" s="216"/>
      <c r="CC70" s="216"/>
      <c r="CD70" s="216"/>
      <c r="CE70" s="427"/>
    </row>
    <row r="71" spans="2:83" ht="15.75" hidden="1" customHeight="1" outlineLevel="1">
      <c r="B71" s="407"/>
      <c r="C71" s="407"/>
      <c r="D71" s="249"/>
      <c r="E71" s="249"/>
      <c r="F71" s="249"/>
      <c r="G71" s="249"/>
      <c r="H71" s="216"/>
      <c r="I71" s="249"/>
      <c r="J71" s="249"/>
      <c r="K71" s="249"/>
      <c r="L71" s="249"/>
      <c r="M71" s="216"/>
      <c r="N71" s="249"/>
      <c r="O71" s="249"/>
      <c r="P71" s="249"/>
      <c r="Q71" s="249"/>
      <c r="R71" s="427"/>
      <c r="S71" s="249"/>
      <c r="T71" s="249"/>
      <c r="U71" s="249"/>
      <c r="V71" s="249"/>
      <c r="W71" s="427"/>
      <c r="X71" s="249"/>
      <c r="Y71" s="249"/>
      <c r="Z71" s="249"/>
      <c r="AA71" s="249"/>
      <c r="AB71" s="427"/>
      <c r="AC71" s="249"/>
      <c r="AD71" s="249"/>
      <c r="AE71" s="249"/>
      <c r="AF71" s="249"/>
      <c r="AG71" s="427"/>
      <c r="AH71" s="249"/>
      <c r="AI71" s="249"/>
      <c r="AJ71" s="249"/>
      <c r="AK71" s="249"/>
      <c r="AL71" s="427"/>
      <c r="AM71" s="249"/>
      <c r="AN71" s="249"/>
      <c r="AO71" s="249"/>
      <c r="AP71" s="249"/>
      <c r="AQ71" s="427"/>
      <c r="AR71" s="249"/>
      <c r="AS71" s="249"/>
      <c r="AT71" s="671"/>
      <c r="AU71" s="230"/>
      <c r="AV71" s="427"/>
      <c r="AW71" s="249"/>
      <c r="AX71" s="249"/>
      <c r="AY71" s="249"/>
      <c r="AZ71" s="249"/>
      <c r="BA71" s="427"/>
      <c r="BB71" s="249"/>
      <c r="BC71" s="249"/>
      <c r="BD71" s="249"/>
      <c r="BE71" s="249"/>
      <c r="BF71" s="427"/>
      <c r="BG71" s="249"/>
      <c r="BH71" s="249"/>
      <c r="BI71" s="304"/>
      <c r="BJ71" s="249"/>
      <c r="BK71" s="427"/>
      <c r="BL71" s="249"/>
      <c r="BM71" s="249"/>
      <c r="BN71" s="249"/>
      <c r="BO71" s="249"/>
      <c r="BP71" s="427"/>
      <c r="BQ71" s="249"/>
      <c r="BR71" s="249"/>
      <c r="BS71" s="249"/>
      <c r="BT71" s="249"/>
      <c r="BU71" s="427"/>
      <c r="BV71" s="249"/>
      <c r="BW71" s="249"/>
      <c r="BX71" s="249"/>
      <c r="BY71" s="249"/>
      <c r="BZ71" s="427"/>
      <c r="CA71" s="249"/>
      <c r="CB71" s="249"/>
      <c r="CC71" s="249"/>
      <c r="CD71" s="249"/>
      <c r="CE71" s="427"/>
    </row>
    <row r="72" spans="2:83" s="7" customFormat="1" ht="12.6" customHeight="1" collapsed="1" thickBot="1">
      <c r="B72" s="446" t="s">
        <v>422</v>
      </c>
      <c r="C72" s="447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448"/>
      <c r="S72" s="229"/>
      <c r="T72" s="229"/>
      <c r="U72" s="229"/>
      <c r="V72" s="229"/>
      <c r="W72" s="448"/>
      <c r="X72" s="229"/>
      <c r="Y72" s="229"/>
      <c r="Z72" s="229"/>
      <c r="AA72" s="229"/>
      <c r="AB72" s="448"/>
      <c r="AC72" s="229"/>
      <c r="AD72" s="229"/>
      <c r="AE72" s="229"/>
      <c r="AF72" s="448"/>
      <c r="AG72" s="448"/>
      <c r="AH72" s="448"/>
      <c r="AI72" s="448"/>
      <c r="AJ72" s="448"/>
      <c r="AK72" s="448"/>
      <c r="AL72" s="448"/>
      <c r="AM72" s="448"/>
      <c r="AN72" s="448"/>
      <c r="AO72" s="448"/>
      <c r="AP72" s="448"/>
      <c r="AQ72" s="448"/>
      <c r="AR72" s="229"/>
      <c r="AS72" s="229"/>
      <c r="AT72" s="229"/>
      <c r="AU72" s="229"/>
      <c r="AV72" s="448"/>
      <c r="AW72" s="229"/>
      <c r="AX72" s="229"/>
      <c r="AY72" s="229"/>
      <c r="AZ72" s="229"/>
      <c r="BA72" s="448"/>
      <c r="BB72" s="229"/>
      <c r="BC72" s="229"/>
      <c r="BD72" s="229"/>
      <c r="BE72" s="229"/>
      <c r="BF72" s="448"/>
      <c r="BG72" s="229"/>
      <c r="BH72" s="229"/>
      <c r="BI72" s="229"/>
      <c r="BJ72" s="229"/>
      <c r="BK72" s="448"/>
      <c r="BL72" s="229"/>
      <c r="BM72" s="229"/>
      <c r="BN72" s="229"/>
      <c r="BO72" s="229"/>
      <c r="BP72" s="448"/>
      <c r="BQ72" s="229"/>
      <c r="BR72" s="229"/>
      <c r="BS72" s="229"/>
      <c r="BT72" s="229"/>
      <c r="BU72" s="448"/>
      <c r="BV72" s="229"/>
      <c r="BW72" s="229"/>
      <c r="BX72" s="229"/>
      <c r="BY72" s="229"/>
      <c r="BZ72" s="448"/>
      <c r="CA72" s="229"/>
      <c r="CB72" s="229"/>
      <c r="CC72" s="229"/>
      <c r="CD72" s="229"/>
      <c r="CE72" s="448"/>
    </row>
    <row r="73" spans="2:83" s="7" customFormat="1" ht="12.6" customHeight="1">
      <c r="B73" s="645"/>
      <c r="C73" s="645"/>
      <c r="D73" s="646"/>
      <c r="E73" s="646"/>
      <c r="F73" s="646"/>
      <c r="G73" s="646"/>
      <c r="H73" s="646"/>
      <c r="I73" s="646"/>
      <c r="J73" s="646"/>
      <c r="K73" s="646"/>
      <c r="L73" s="646"/>
      <c r="M73" s="646"/>
      <c r="N73" s="646"/>
      <c r="O73" s="646"/>
      <c r="P73" s="646"/>
      <c r="Q73" s="646"/>
      <c r="R73" s="647"/>
      <c r="S73" s="646"/>
      <c r="T73" s="646"/>
      <c r="U73" s="646"/>
      <c r="V73" s="646"/>
      <c r="W73" s="647"/>
      <c r="X73" s="646"/>
      <c r="Y73" s="646"/>
      <c r="Z73" s="646"/>
      <c r="AA73" s="646"/>
      <c r="AB73" s="647"/>
      <c r="AC73" s="646"/>
      <c r="AD73" s="646"/>
      <c r="AE73" s="646"/>
      <c r="AF73" s="647"/>
      <c r="AG73" s="647"/>
      <c r="AH73" s="647"/>
      <c r="AI73" s="647"/>
      <c r="AJ73" s="647"/>
      <c r="AK73" s="647"/>
      <c r="AL73" s="647"/>
      <c r="AM73" s="647"/>
      <c r="AN73" s="647"/>
      <c r="AO73" s="647"/>
      <c r="AP73" s="647"/>
      <c r="AQ73" s="647"/>
      <c r="AR73" s="646"/>
      <c r="AS73" s="646"/>
      <c r="AT73" s="646"/>
      <c r="AU73" s="646"/>
      <c r="AV73" s="647"/>
      <c r="AW73" s="646"/>
      <c r="AX73" s="646"/>
      <c r="AY73" s="646"/>
      <c r="AZ73" s="646"/>
      <c r="BA73" s="647"/>
      <c r="BB73" s="646"/>
      <c r="BC73" s="646"/>
      <c r="BD73" s="646"/>
      <c r="BE73" s="646"/>
      <c r="BF73" s="647"/>
      <c r="BG73" s="646"/>
      <c r="BH73" s="646"/>
      <c r="BI73" s="646"/>
      <c r="BJ73" s="646"/>
      <c r="BK73" s="647"/>
      <c r="BL73" s="646"/>
      <c r="BM73" s="646"/>
      <c r="BN73" s="646"/>
      <c r="BO73" s="646"/>
      <c r="BP73" s="647"/>
      <c r="BQ73" s="646"/>
      <c r="BR73" s="646"/>
      <c r="BS73" s="646"/>
      <c r="BT73" s="646"/>
      <c r="BU73" s="647"/>
      <c r="BV73" s="646"/>
      <c r="BW73" s="646"/>
      <c r="BX73" s="646"/>
      <c r="BY73" s="646"/>
      <c r="BZ73" s="647"/>
      <c r="CA73" s="646"/>
      <c r="CB73" s="646"/>
      <c r="CC73" s="646"/>
      <c r="CD73" s="646"/>
      <c r="CE73" s="647"/>
    </row>
    <row r="74" spans="2:83" s="7" customFormat="1" ht="12.75" customHeight="1">
      <c r="B74" s="13"/>
      <c r="C74" s="13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392" t="s">
        <v>366</v>
      </c>
      <c r="AG74" s="392" t="s">
        <v>333</v>
      </c>
      <c r="AH74" s="392" t="s">
        <v>349</v>
      </c>
      <c r="AI74" s="392" t="s">
        <v>343</v>
      </c>
      <c r="AJ74" s="392" t="s">
        <v>333</v>
      </c>
      <c r="AK74" s="392" t="s">
        <v>279</v>
      </c>
      <c r="AL74" s="392" t="s">
        <v>279</v>
      </c>
      <c r="AM74" s="392" t="s">
        <v>271</v>
      </c>
      <c r="AN74" s="392" t="s">
        <v>272</v>
      </c>
      <c r="AO74" s="392" t="s">
        <v>273</v>
      </c>
      <c r="AP74" s="392" t="s">
        <v>274</v>
      </c>
      <c r="AQ74" s="392" t="s">
        <v>271</v>
      </c>
      <c r="AR74" s="392" t="s">
        <v>275</v>
      </c>
      <c r="AS74" s="392" t="s">
        <v>276</v>
      </c>
      <c r="AT74" s="392" t="s">
        <v>277</v>
      </c>
      <c r="AU74" s="392" t="s">
        <v>344</v>
      </c>
      <c r="AV74" s="392" t="s">
        <v>272</v>
      </c>
      <c r="AW74" s="392"/>
      <c r="AX74" s="392"/>
      <c r="AY74" s="392"/>
      <c r="AZ74" s="392"/>
      <c r="BA74" s="392"/>
      <c r="BB74" s="392"/>
      <c r="BC74" s="392"/>
      <c r="BD74" s="392"/>
      <c r="BE74" s="392"/>
      <c r="BF74" s="392"/>
      <c r="BG74" s="392"/>
      <c r="BH74" s="392"/>
      <c r="BI74" s="392"/>
      <c r="BJ74" s="392"/>
      <c r="BK74" s="392"/>
      <c r="BL74" s="392"/>
      <c r="BM74" s="392"/>
      <c r="BN74" s="392"/>
      <c r="BO74" s="392"/>
      <c r="BP74" s="803">
        <f>BP62/BK62-1</f>
        <v>-6.5003326679973217E-3</v>
      </c>
      <c r="BQ74" s="392"/>
      <c r="BR74" s="392"/>
      <c r="BS74" s="392"/>
      <c r="BT74" s="392"/>
      <c r="BU74" s="803">
        <f>BU62/BP62-1</f>
        <v>-2.4021751505126421E-2</v>
      </c>
      <c r="BV74" s="392"/>
      <c r="BW74" s="392"/>
      <c r="BX74" s="392"/>
      <c r="BY74" s="392"/>
      <c r="BZ74" s="803">
        <f>BZ62/BU62-1</f>
        <v>-2.8217791544107085E-2</v>
      </c>
      <c r="CA74" s="392"/>
      <c r="CB74" s="392"/>
      <c r="CC74" s="392"/>
      <c r="CD74" s="392"/>
      <c r="CE74" s="392"/>
    </row>
    <row r="75" spans="2:83" s="7" customFormat="1" ht="12.6" customHeight="1">
      <c r="B75" s="407" t="s">
        <v>506</v>
      </c>
      <c r="C75" s="407"/>
      <c r="D75" s="306"/>
      <c r="E75" s="306"/>
      <c r="F75" s="306"/>
      <c r="G75" s="306"/>
      <c r="H75" s="306"/>
      <c r="I75" s="306"/>
      <c r="J75" s="306"/>
      <c r="K75" s="306"/>
      <c r="L75" s="306"/>
      <c r="M75" s="306"/>
      <c r="N75" s="306"/>
      <c r="O75" s="306"/>
      <c r="P75" s="306"/>
      <c r="Q75" s="306"/>
      <c r="R75" s="445"/>
      <c r="S75" s="306"/>
      <c r="T75" s="306"/>
      <c r="U75" s="306"/>
      <c r="V75" s="306"/>
      <c r="W75" s="445"/>
      <c r="X75" s="306"/>
      <c r="Y75" s="306"/>
      <c r="Z75" s="306"/>
      <c r="AA75" s="306"/>
      <c r="AB75" s="445"/>
      <c r="AC75" s="306"/>
      <c r="AD75" s="306"/>
      <c r="AE75" s="306"/>
      <c r="AF75" s="445"/>
      <c r="AG75" s="445"/>
      <c r="AH75" s="445"/>
      <c r="AI75" s="445"/>
      <c r="AJ75" s="445"/>
      <c r="AK75" s="445"/>
      <c r="AL75" s="445"/>
      <c r="AM75" s="445"/>
      <c r="AN75" s="445"/>
      <c r="AO75" s="445"/>
      <c r="AP75" s="445"/>
      <c r="AQ75" s="445"/>
      <c r="AR75" s="306"/>
      <c r="AS75" s="306"/>
      <c r="AT75" s="306"/>
      <c r="AU75" s="306"/>
      <c r="AV75" s="445"/>
      <c r="AW75" s="306"/>
      <c r="AX75" s="306"/>
      <c r="AY75" s="306"/>
      <c r="AZ75" s="306"/>
      <c r="BA75" s="306"/>
      <c r="BB75" s="306"/>
      <c r="BC75" s="306"/>
      <c r="BD75" s="306"/>
      <c r="BE75" s="306"/>
      <c r="BF75" s="306"/>
      <c r="BG75" s="306"/>
      <c r="BH75" s="306"/>
      <c r="BI75" s="306"/>
      <c r="BJ75" s="306"/>
      <c r="BK75" s="306"/>
      <c r="BL75" s="306"/>
      <c r="BM75" s="306"/>
      <c r="BN75" s="306"/>
      <c r="BO75" s="306"/>
      <c r="BP75" s="306"/>
      <c r="BQ75" s="306"/>
      <c r="BR75" s="306"/>
      <c r="BS75" s="306"/>
      <c r="BT75" s="306"/>
      <c r="BU75" s="626">
        <f>(BU77+BU76)/BU9</f>
        <v>0.80246658270412663</v>
      </c>
      <c r="BV75" s="306"/>
      <c r="BW75" s="306"/>
      <c r="BX75" s="306"/>
      <c r="BY75" s="306"/>
      <c r="BZ75" s="306"/>
      <c r="CA75" s="306"/>
      <c r="CB75" s="306"/>
      <c r="CC75" s="306"/>
      <c r="CD75" s="306"/>
      <c r="CE75" s="306"/>
    </row>
    <row r="76" spans="2:83" s="7" customFormat="1" ht="12.6" customHeight="1">
      <c r="B76" s="407" t="s">
        <v>511</v>
      </c>
      <c r="C76" s="407"/>
      <c r="D76" s="306"/>
      <c r="E76" s="306"/>
      <c r="F76" s="306"/>
      <c r="G76" s="306"/>
      <c r="H76" s="306"/>
      <c r="I76" s="306"/>
      <c r="J76" s="306"/>
      <c r="K76" s="306"/>
      <c r="L76" s="306"/>
      <c r="M76" s="306"/>
      <c r="N76" s="306"/>
      <c r="O76" s="306"/>
      <c r="P76" s="306"/>
      <c r="Q76" s="306"/>
      <c r="R76" s="445"/>
      <c r="S76" s="306"/>
      <c r="T76" s="306"/>
      <c r="U76" s="306"/>
      <c r="V76" s="306"/>
      <c r="W76" s="445"/>
      <c r="X76" s="306"/>
      <c r="Y76" s="306"/>
      <c r="Z76" s="306"/>
      <c r="AA76" s="306"/>
      <c r="AB76" s="445"/>
      <c r="AC76" s="306"/>
      <c r="AD76" s="306"/>
      <c r="AE76" s="306"/>
      <c r="AF76" s="445"/>
      <c r="AG76" s="445"/>
      <c r="AH76" s="445"/>
      <c r="AI76" s="445"/>
      <c r="AJ76" s="445"/>
      <c r="AK76" s="445"/>
      <c r="AL76" s="445"/>
      <c r="AM76" s="445"/>
      <c r="AN76" s="445"/>
      <c r="AO76" s="445"/>
      <c r="AP76" s="445"/>
      <c r="AQ76" s="445"/>
      <c r="AR76" s="306"/>
      <c r="AS76" s="306"/>
      <c r="AT76" s="306"/>
      <c r="AU76" s="306"/>
      <c r="AV76" s="445"/>
      <c r="AW76" s="306"/>
      <c r="AX76" s="306"/>
      <c r="AY76" s="306"/>
      <c r="AZ76" s="306"/>
      <c r="BA76" s="306"/>
      <c r="BB76" s="306"/>
      <c r="BC76" s="306"/>
      <c r="BD76" s="306"/>
      <c r="BE76" s="306"/>
      <c r="BF76" s="306"/>
      <c r="BG76" s="306"/>
      <c r="BH76" s="306"/>
      <c r="BI76" s="306"/>
      <c r="BJ76" s="306"/>
      <c r="BK76" s="306"/>
      <c r="BL76" s="306"/>
      <c r="BM76" s="306"/>
      <c r="BN76" s="306"/>
      <c r="BO76" s="306"/>
      <c r="BP76" s="306"/>
      <c r="BQ76" s="306"/>
      <c r="BR76" s="306"/>
      <c r="BS76" s="306"/>
      <c r="BT76" s="306"/>
      <c r="BU76" s="738">
        <f>BP37*1.16</f>
        <v>278194.68</v>
      </c>
      <c r="BV76" s="306"/>
      <c r="BW76" s="306"/>
      <c r="BX76" s="306"/>
      <c r="BY76" s="306"/>
      <c r="BZ76" s="306"/>
      <c r="CA76" s="306"/>
      <c r="CB76" s="306"/>
      <c r="CC76" s="306"/>
      <c r="CD76" s="306"/>
      <c r="CE76" s="306"/>
    </row>
    <row r="77" spans="2:83" s="7" customFormat="1" ht="12.6" customHeight="1">
      <c r="B77" s="407" t="s">
        <v>510</v>
      </c>
      <c r="C77" s="407"/>
      <c r="D77" s="306"/>
      <c r="E77" s="306"/>
      <c r="F77" s="306"/>
      <c r="G77" s="306"/>
      <c r="H77" s="306"/>
      <c r="I77" s="306"/>
      <c r="J77" s="306"/>
      <c r="K77" s="306"/>
      <c r="L77" s="306"/>
      <c r="M77" s="306"/>
      <c r="N77" s="306"/>
      <c r="O77" s="306"/>
      <c r="P77" s="306"/>
      <c r="Q77" s="306"/>
      <c r="R77" s="445"/>
      <c r="S77" s="306"/>
      <c r="T77" s="306"/>
      <c r="U77" s="306"/>
      <c r="V77" s="306"/>
      <c r="W77" s="445"/>
      <c r="X77" s="306"/>
      <c r="Y77" s="306"/>
      <c r="Z77" s="306"/>
      <c r="AA77" s="306"/>
      <c r="AB77" s="445"/>
      <c r="AC77" s="306"/>
      <c r="AD77" s="306"/>
      <c r="AE77" s="306"/>
      <c r="AF77" s="445"/>
      <c r="AG77" s="445"/>
      <c r="AH77" s="445"/>
      <c r="AI77" s="445"/>
      <c r="AJ77" s="445"/>
      <c r="AK77" s="445"/>
      <c r="AL77" s="445"/>
      <c r="AM77" s="445"/>
      <c r="AN77" s="445"/>
      <c r="AO77" s="445"/>
      <c r="AP77" s="445"/>
      <c r="AQ77" s="445"/>
      <c r="AR77" s="306"/>
      <c r="AS77" s="306"/>
      <c r="AT77" s="306"/>
      <c r="AU77" s="306"/>
      <c r="AV77" s="445"/>
      <c r="AW77" s="306"/>
      <c r="AX77" s="306"/>
      <c r="AY77" s="306"/>
      <c r="AZ77" s="306"/>
      <c r="BA77" s="306"/>
      <c r="BB77" s="306"/>
      <c r="BC77" s="306"/>
      <c r="BD77" s="306"/>
      <c r="BE77" s="306"/>
      <c r="BF77" s="306"/>
      <c r="BG77" s="306"/>
      <c r="BH77" s="306"/>
      <c r="BI77" s="306"/>
      <c r="BJ77" s="306"/>
      <c r="BK77" s="306"/>
      <c r="BL77" s="306"/>
      <c r="BM77" s="306"/>
      <c r="BN77" s="306"/>
      <c r="BO77" s="306"/>
      <c r="BP77" s="306"/>
      <c r="BQ77" s="306"/>
      <c r="BR77" s="306"/>
      <c r="BS77" s="306"/>
      <c r="BT77" s="306"/>
      <c r="BU77" s="738">
        <f>BU78-SUM(BU45:BU47)</f>
        <v>258755.77215189871</v>
      </c>
      <c r="BV77" s="306"/>
      <c r="BW77" s="306"/>
      <c r="BX77" s="306"/>
      <c r="BY77" s="306"/>
      <c r="BZ77" s="306"/>
      <c r="CA77" s="306"/>
      <c r="CB77" s="306"/>
      <c r="CC77" s="306"/>
      <c r="CD77" s="306"/>
      <c r="CE77" s="306"/>
    </row>
    <row r="78" spans="2:83" s="7" customFormat="1" ht="12.6" customHeight="1">
      <c r="B78" s="407" t="s">
        <v>508</v>
      </c>
      <c r="C78" s="407"/>
      <c r="D78" s="306"/>
      <c r="E78" s="306"/>
      <c r="F78" s="306"/>
      <c r="G78" s="306"/>
      <c r="H78" s="306"/>
      <c r="I78" s="306"/>
      <c r="J78" s="306"/>
      <c r="K78" s="306"/>
      <c r="L78" s="306"/>
      <c r="M78" s="306"/>
      <c r="N78" s="306"/>
      <c r="O78" s="306"/>
      <c r="P78" s="306"/>
      <c r="Q78" s="306"/>
      <c r="R78" s="445"/>
      <c r="S78" s="306"/>
      <c r="T78" s="306"/>
      <c r="U78" s="306"/>
      <c r="V78" s="306"/>
      <c r="W78" s="445"/>
      <c r="X78" s="306"/>
      <c r="Y78" s="306"/>
      <c r="Z78" s="306"/>
      <c r="AA78" s="306"/>
      <c r="AB78" s="445"/>
      <c r="AC78" s="306"/>
      <c r="AD78" s="306"/>
      <c r="AE78" s="306"/>
      <c r="AF78" s="445"/>
      <c r="AG78" s="445"/>
      <c r="AH78" s="445"/>
      <c r="AI78" s="445"/>
      <c r="AJ78" s="445"/>
      <c r="AK78" s="445"/>
      <c r="AL78" s="445"/>
      <c r="AM78" s="445"/>
      <c r="AN78" s="445"/>
      <c r="AO78" s="445"/>
      <c r="AP78" s="445"/>
      <c r="AQ78" s="445"/>
      <c r="AR78" s="306"/>
      <c r="AS78" s="306"/>
      <c r="AT78" s="306"/>
      <c r="AU78" s="306"/>
      <c r="AV78" s="445"/>
      <c r="AW78" s="306"/>
      <c r="AX78" s="306"/>
      <c r="AY78" s="306"/>
      <c r="AZ78" s="306"/>
      <c r="BA78" s="306"/>
      <c r="BB78" s="306"/>
      <c r="BC78" s="306"/>
      <c r="BD78" s="306"/>
      <c r="BE78" s="306"/>
      <c r="BF78" s="306"/>
      <c r="BG78" s="306"/>
      <c r="BH78" s="306"/>
      <c r="BI78" s="306"/>
      <c r="BJ78" s="306"/>
      <c r="BK78" s="306"/>
      <c r="BL78" s="306"/>
      <c r="BM78" s="306"/>
      <c r="BN78" s="306"/>
      <c r="BO78" s="306"/>
      <c r="BP78" s="306"/>
      <c r="BQ78" s="306"/>
      <c r="BR78" s="306"/>
      <c r="BS78" s="306"/>
      <c r="BT78" s="306"/>
      <c r="BU78" s="738">
        <f>BU79/(1-0.21)</f>
        <v>283631.77215189871</v>
      </c>
      <c r="BV78" s="306"/>
      <c r="BW78" s="306"/>
      <c r="BX78" s="306"/>
      <c r="BY78" s="306"/>
      <c r="BZ78" s="306"/>
      <c r="CA78" s="306"/>
      <c r="CB78" s="306"/>
      <c r="CC78" s="306"/>
      <c r="CD78" s="306"/>
      <c r="CE78" s="306"/>
    </row>
    <row r="79" spans="2:83" s="7" customFormat="1" ht="12.6" customHeight="1">
      <c r="B79" s="407" t="s">
        <v>507</v>
      </c>
      <c r="C79" s="407"/>
      <c r="D79" s="306"/>
      <c r="E79" s="306"/>
      <c r="F79" s="306"/>
      <c r="G79" s="306"/>
      <c r="H79" s="306"/>
      <c r="I79" s="306"/>
      <c r="J79" s="306"/>
      <c r="K79" s="306"/>
      <c r="L79" s="306"/>
      <c r="M79" s="306"/>
      <c r="N79" s="306"/>
      <c r="O79" s="306"/>
      <c r="P79" s="306"/>
      <c r="Q79" s="306"/>
      <c r="R79" s="445"/>
      <c r="S79" s="306"/>
      <c r="T79" s="306"/>
      <c r="U79" s="306"/>
      <c r="V79" s="306"/>
      <c r="W79" s="445"/>
      <c r="X79" s="306"/>
      <c r="Y79" s="306"/>
      <c r="Z79" s="306"/>
      <c r="AA79" s="306"/>
      <c r="AB79" s="445"/>
      <c r="AC79" s="306"/>
      <c r="AD79" s="306"/>
      <c r="AE79" s="306"/>
      <c r="AF79" s="445"/>
      <c r="AG79" s="445"/>
      <c r="AH79" s="445"/>
      <c r="AI79" s="445"/>
      <c r="AJ79" s="445"/>
      <c r="AK79" s="445"/>
      <c r="AL79" s="445"/>
      <c r="AM79" s="445"/>
      <c r="AN79" s="445"/>
      <c r="AO79" s="445"/>
      <c r="AP79" s="445"/>
      <c r="AQ79" s="445"/>
      <c r="AR79" s="306"/>
      <c r="AS79" s="306"/>
      <c r="AT79" s="306"/>
      <c r="AU79" s="306"/>
      <c r="AV79" s="445"/>
      <c r="AW79" s="306"/>
      <c r="AX79" s="306"/>
      <c r="AY79" s="306"/>
      <c r="AZ79" s="306"/>
      <c r="BA79" s="306"/>
      <c r="BB79" s="306"/>
      <c r="BC79" s="306"/>
      <c r="BD79" s="306"/>
      <c r="BE79" s="306"/>
      <c r="BF79" s="306"/>
      <c r="BG79" s="306"/>
      <c r="BH79" s="306"/>
      <c r="BI79" s="306"/>
      <c r="BJ79" s="306"/>
      <c r="BK79" s="306"/>
      <c r="BL79" s="306"/>
      <c r="BM79" s="306"/>
      <c r="BN79" s="306"/>
      <c r="BO79" s="306"/>
      <c r="BP79" s="306"/>
      <c r="BQ79" s="306"/>
      <c r="BR79" s="306"/>
      <c r="BS79" s="306"/>
      <c r="BT79" s="306"/>
      <c r="BU79" s="738">
        <f>6.15*BU62</f>
        <v>224069.1</v>
      </c>
      <c r="BV79" s="306"/>
      <c r="BW79" s="306"/>
      <c r="BX79" s="306"/>
      <c r="BY79" s="306"/>
      <c r="BZ79" s="306"/>
      <c r="CA79" s="306"/>
      <c r="CB79" s="306"/>
      <c r="CC79" s="306"/>
      <c r="CD79" s="306"/>
      <c r="CE79" s="306"/>
    </row>
    <row r="80" spans="2:83" s="7" customFormat="1" ht="12.6" customHeight="1">
      <c r="B80" s="742" t="s">
        <v>509</v>
      </c>
      <c r="C80" s="407"/>
      <c r="D80" s="306"/>
      <c r="E80" s="306"/>
      <c r="F80" s="306"/>
      <c r="G80" s="306"/>
      <c r="H80" s="306"/>
      <c r="I80" s="306"/>
      <c r="J80" s="306"/>
      <c r="K80" s="306"/>
      <c r="L80" s="306"/>
      <c r="M80" s="306"/>
      <c r="N80" s="306"/>
      <c r="O80" s="306"/>
      <c r="P80" s="306"/>
      <c r="Q80" s="306"/>
      <c r="R80" s="445"/>
      <c r="S80" s="306"/>
      <c r="T80" s="306"/>
      <c r="U80" s="306"/>
      <c r="V80" s="306"/>
      <c r="W80" s="445"/>
      <c r="X80" s="306"/>
      <c r="Y80" s="306"/>
      <c r="Z80" s="306"/>
      <c r="AA80" s="306"/>
      <c r="AB80" s="445"/>
      <c r="AC80" s="306"/>
      <c r="AD80" s="306"/>
      <c r="AE80" s="306"/>
      <c r="AF80" s="445"/>
      <c r="AG80" s="445"/>
      <c r="AH80" s="445"/>
      <c r="AI80" s="445"/>
      <c r="AJ80" s="445"/>
      <c r="AK80" s="445"/>
      <c r="AL80" s="445"/>
      <c r="AM80" s="445"/>
      <c r="AN80" s="445"/>
      <c r="AO80" s="445"/>
      <c r="AP80" s="445"/>
      <c r="AQ80" s="445"/>
      <c r="AR80" s="306"/>
      <c r="AS80" s="306"/>
      <c r="AT80" s="306"/>
      <c r="AU80" s="306"/>
      <c r="AV80" s="445"/>
      <c r="AW80" s="306"/>
      <c r="AX80" s="306"/>
      <c r="AY80" s="306"/>
      <c r="AZ80" s="306"/>
      <c r="BA80" s="306"/>
      <c r="BB80" s="306"/>
      <c r="BC80" s="306"/>
      <c r="BD80" s="306"/>
      <c r="BE80" s="306"/>
      <c r="BF80" s="306"/>
      <c r="BG80" s="306"/>
      <c r="BH80" s="306"/>
      <c r="BI80" s="306"/>
      <c r="BJ80" s="306"/>
      <c r="BK80" s="306"/>
      <c r="BL80" s="306"/>
      <c r="BM80" s="306"/>
      <c r="BN80" s="306"/>
      <c r="BO80" s="306"/>
      <c r="BP80" s="306"/>
      <c r="BQ80" s="306"/>
      <c r="BR80" s="306"/>
      <c r="BS80" s="306"/>
      <c r="BT80" s="306"/>
      <c r="BU80" s="626">
        <f>(BU78-BU79)/BU78</f>
        <v>0.20999999999999991</v>
      </c>
      <c r="BV80" s="306"/>
      <c r="BW80" s="306"/>
      <c r="BX80" s="306"/>
      <c r="BY80" s="306"/>
      <c r="BZ80" s="306"/>
      <c r="CA80" s="306"/>
      <c r="CB80" s="306"/>
      <c r="CC80" s="306"/>
      <c r="CD80" s="306"/>
      <c r="CE80" s="306"/>
    </row>
    <row r="81" spans="2:83" ht="12" thickBot="1">
      <c r="B81" s="15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</row>
    <row r="82" spans="2:83" ht="17.649999999999999">
      <c r="B82" s="202" t="s">
        <v>166</v>
      </c>
    </row>
    <row r="83" spans="2:83" ht="13.15">
      <c r="B83" s="206" t="s">
        <v>15</v>
      </c>
      <c r="C83" s="206"/>
      <c r="D83" s="230"/>
      <c r="E83" s="230"/>
      <c r="F83" s="230"/>
      <c r="G83" s="230"/>
      <c r="H83" s="230"/>
      <c r="I83" s="230"/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230"/>
      <c r="Y83" s="230"/>
      <c r="Z83" s="230"/>
      <c r="AA83" s="230"/>
      <c r="AB83" s="230"/>
      <c r="AC83" s="230"/>
      <c r="AD83" s="230"/>
      <c r="AE83" s="230"/>
      <c r="AF83" s="230"/>
      <c r="AG83" s="211"/>
      <c r="AH83" s="230"/>
      <c r="AI83" s="230"/>
      <c r="AJ83" s="230"/>
      <c r="AK83" s="230"/>
      <c r="AL83" s="211"/>
      <c r="AM83" s="230"/>
      <c r="AN83" s="230"/>
      <c r="AO83" s="230"/>
      <c r="AP83" s="230"/>
      <c r="AQ83" s="211"/>
      <c r="AR83" s="230"/>
      <c r="AS83" s="230"/>
      <c r="AT83" s="230"/>
      <c r="AU83" s="230"/>
      <c r="AV83" s="211"/>
      <c r="AW83" s="230"/>
      <c r="AX83" s="230"/>
      <c r="AY83" s="230"/>
      <c r="AZ83" s="230"/>
      <c r="BA83" s="211"/>
      <c r="BB83" s="230"/>
      <c r="BC83" s="230"/>
      <c r="BD83" s="230"/>
      <c r="BE83" s="230"/>
      <c r="BF83" s="211"/>
      <c r="BG83" s="230"/>
      <c r="BH83" s="230"/>
      <c r="BI83" s="230"/>
      <c r="BJ83" s="230"/>
      <c r="BK83" s="211"/>
      <c r="BL83" s="230"/>
      <c r="BM83" s="230"/>
      <c r="BN83" s="230"/>
      <c r="BO83" s="230"/>
      <c r="BP83" s="211"/>
      <c r="BQ83" s="230"/>
      <c r="BR83" s="230"/>
      <c r="BS83" s="230"/>
      <c r="BT83" s="230"/>
      <c r="BU83" s="211"/>
      <c r="BV83" s="230"/>
      <c r="BW83" s="230"/>
      <c r="BX83" s="230"/>
      <c r="BY83" s="230"/>
      <c r="BZ83" s="211"/>
      <c r="CA83" s="230"/>
      <c r="CB83" s="230"/>
      <c r="CC83" s="230"/>
      <c r="CD83" s="230"/>
      <c r="CE83" s="211"/>
    </row>
    <row r="84" spans="2:83" ht="13.15">
      <c r="B84" s="206"/>
      <c r="C84" s="206"/>
      <c r="D84" s="208" t="str">
        <f>+D5</f>
        <v>2012A</v>
      </c>
      <c r="E84" s="209"/>
      <c r="F84" s="210"/>
      <c r="G84" s="210"/>
      <c r="H84" s="211" t="s">
        <v>239</v>
      </c>
      <c r="I84" s="208" t="str">
        <f>+I5</f>
        <v>2013A</v>
      </c>
      <c r="J84" s="209"/>
      <c r="K84" s="210"/>
      <c r="L84" s="210"/>
      <c r="M84" s="211" t="s">
        <v>239</v>
      </c>
      <c r="N84" s="208" t="str">
        <f>+N5</f>
        <v>2014A</v>
      </c>
      <c r="O84" s="209"/>
      <c r="P84" s="210"/>
      <c r="Q84" s="210"/>
      <c r="R84" s="211" t="str">
        <f>+R5</f>
        <v>Year</v>
      </c>
      <c r="S84" s="208" t="str">
        <f>+S5</f>
        <v>2015A</v>
      </c>
      <c r="T84" s="209"/>
      <c r="U84" s="210"/>
      <c r="V84" s="210"/>
      <c r="W84" s="519" t="str">
        <f>+W5</f>
        <v>Year</v>
      </c>
      <c r="X84" s="208" t="str">
        <f>+X5</f>
        <v>2016A</v>
      </c>
      <c r="Y84" s="209"/>
      <c r="Z84" s="210"/>
      <c r="AA84" s="210"/>
      <c r="AB84" s="519" t="str">
        <f>+AB5</f>
        <v>Year</v>
      </c>
      <c r="AC84" s="208" t="str">
        <f>+AC5</f>
        <v>2017A</v>
      </c>
      <c r="AD84" s="209"/>
      <c r="AE84" s="210"/>
      <c r="AF84" s="210"/>
      <c r="AG84" s="519" t="str">
        <f>+AG5</f>
        <v>Year</v>
      </c>
      <c r="AH84" s="208" t="str">
        <f>+AH5</f>
        <v>2018A</v>
      </c>
      <c r="AI84" s="209"/>
      <c r="AJ84" s="210"/>
      <c r="AK84" s="210"/>
      <c r="AL84" s="519" t="str">
        <f>+AL5</f>
        <v>Year</v>
      </c>
      <c r="AM84" s="208" t="str">
        <f>+AM5</f>
        <v>2019A</v>
      </c>
      <c r="AN84" s="209"/>
      <c r="AO84" s="210"/>
      <c r="AP84" s="210"/>
      <c r="AQ84" s="519" t="str">
        <f>+AQ5</f>
        <v>Year</v>
      </c>
      <c r="AR84" s="208" t="str">
        <f>+AR5</f>
        <v>2020A</v>
      </c>
      <c r="AS84" s="209"/>
      <c r="AT84" s="210"/>
      <c r="AU84" s="210"/>
      <c r="AV84" s="519" t="str">
        <f>+AV5</f>
        <v>Year</v>
      </c>
      <c r="AW84" s="208" t="str">
        <f>+AW5</f>
        <v>2021A</v>
      </c>
      <c r="AX84" s="209"/>
      <c r="AY84" s="210"/>
      <c r="AZ84" s="210"/>
      <c r="BA84" s="519" t="str">
        <f>+BA5</f>
        <v>Year</v>
      </c>
      <c r="BB84" s="208" t="str">
        <f>+BB5</f>
        <v>2022A</v>
      </c>
      <c r="BC84" s="209"/>
      <c r="BD84" s="210"/>
      <c r="BE84" s="210"/>
      <c r="BF84" s="519" t="str">
        <f>+BF5</f>
        <v>Year</v>
      </c>
      <c r="BG84" s="208" t="str">
        <f>+BG5</f>
        <v>2023A</v>
      </c>
      <c r="BH84" s="209"/>
      <c r="BI84" s="210"/>
      <c r="BJ84" s="210"/>
      <c r="BK84" s="519" t="str">
        <f>+BK5</f>
        <v>Year</v>
      </c>
      <c r="BL84" s="208" t="str">
        <f>+BL5</f>
        <v>2024A</v>
      </c>
      <c r="BM84" s="209"/>
      <c r="BN84" s="210"/>
      <c r="BO84" s="210"/>
      <c r="BP84" s="519" t="str">
        <f>+BP5</f>
        <v>Year</v>
      </c>
      <c r="BQ84" s="208" t="str">
        <f>+BQ5</f>
        <v>2025A</v>
      </c>
      <c r="BR84" s="209"/>
      <c r="BS84" s="210"/>
      <c r="BT84" s="210"/>
      <c r="BU84" s="519" t="str">
        <f>+BU5</f>
        <v>Year</v>
      </c>
      <c r="BV84" s="208" t="str">
        <f>+BV5</f>
        <v>2026E</v>
      </c>
      <c r="BW84" s="209"/>
      <c r="BX84" s="210"/>
      <c r="BY84" s="210"/>
      <c r="BZ84" s="519" t="str">
        <f>+BZ5</f>
        <v>Year</v>
      </c>
      <c r="CA84" s="208" t="str">
        <f>+CA5</f>
        <v>2027E</v>
      </c>
      <c r="CB84" s="209"/>
      <c r="CC84" s="210"/>
      <c r="CD84" s="210"/>
      <c r="CE84" s="519" t="str">
        <f>+CE5</f>
        <v>Year</v>
      </c>
    </row>
    <row r="85" spans="2:83" ht="12.6" customHeight="1">
      <c r="B85" s="206"/>
      <c r="C85" s="206"/>
      <c r="D85" s="211" t="str">
        <f>+D6</f>
        <v>1Q-Mar 12A</v>
      </c>
      <c r="E85" s="211" t="str">
        <f>+E6</f>
        <v>2Q-Jun 12A</v>
      </c>
      <c r="F85" s="211" t="str">
        <f>+F6</f>
        <v>3Q-Sep 12A</v>
      </c>
      <c r="G85" s="211" t="str">
        <f>+G6</f>
        <v>4Q-Dec 12A</v>
      </c>
      <c r="H85" s="211" t="str">
        <f>+H6</f>
        <v>2012A</v>
      </c>
      <c r="I85" s="211" t="str">
        <f>+I6</f>
        <v>1Q-Mar 13A</v>
      </c>
      <c r="J85" s="211" t="str">
        <f>+J6</f>
        <v>2Q-Jun 13A</v>
      </c>
      <c r="K85" s="211" t="str">
        <f>+K6</f>
        <v>3Q-Sep 13A</v>
      </c>
      <c r="L85" s="211" t="str">
        <f>+L6</f>
        <v>4Q-Dec 13A</v>
      </c>
      <c r="M85" s="211" t="str">
        <f>+M6</f>
        <v>2013A</v>
      </c>
      <c r="N85" s="211" t="str">
        <f>+N6</f>
        <v>1Q-Mar 14A</v>
      </c>
      <c r="O85" s="211" t="str">
        <f>+O6</f>
        <v>2Q-Jun 14A</v>
      </c>
      <c r="P85" s="211" t="str">
        <f>+P6</f>
        <v>3Q-Sep 14A</v>
      </c>
      <c r="Q85" s="211" t="str">
        <f>+Q6</f>
        <v>4Q-Dec 14A</v>
      </c>
      <c r="R85" s="211" t="str">
        <f>+R6</f>
        <v>2014A</v>
      </c>
      <c r="S85" s="211" t="str">
        <f>+S6</f>
        <v>1Q-Mar 15A</v>
      </c>
      <c r="T85" s="211" t="str">
        <f>+T6</f>
        <v>2Q-Jun 15A</v>
      </c>
      <c r="U85" s="211" t="str">
        <f>+U6</f>
        <v>3Q-Sep 15A</v>
      </c>
      <c r="V85" s="211" t="str">
        <f>+V6</f>
        <v>4Q-Dec 15A</v>
      </c>
      <c r="W85" s="519" t="str">
        <f>+W6</f>
        <v>2015A</v>
      </c>
      <c r="X85" s="211" t="str">
        <f>+X6</f>
        <v>1Q-Mar 16A</v>
      </c>
      <c r="Y85" s="211" t="str">
        <f>+Y6</f>
        <v>2Q-Jun 16A</v>
      </c>
      <c r="Z85" s="211" t="str">
        <f>+Z6</f>
        <v>3Q-Sep 16A</v>
      </c>
      <c r="AA85" s="211" t="str">
        <f>+AA6</f>
        <v>4Q-Dec 16A</v>
      </c>
      <c r="AB85" s="519" t="str">
        <f>+AB6</f>
        <v>2016A</v>
      </c>
      <c r="AC85" s="211" t="str">
        <f>+AC6</f>
        <v>1Q-Mar 17A</v>
      </c>
      <c r="AD85" s="211" t="str">
        <f>+AD6</f>
        <v>2Q-Jun 17A</v>
      </c>
      <c r="AE85" s="211" t="str">
        <f>+AE6</f>
        <v>3Q-Sep 17A</v>
      </c>
      <c r="AF85" s="211" t="str">
        <f>+AF6</f>
        <v>4Q-Dec 17A</v>
      </c>
      <c r="AG85" s="519" t="str">
        <f>+AG6</f>
        <v>2017A</v>
      </c>
      <c r="AH85" s="211" t="str">
        <f>+AH6</f>
        <v>1Q-Mar 18A</v>
      </c>
      <c r="AI85" s="211" t="str">
        <f>+AI6</f>
        <v>2Q-Jun 18A</v>
      </c>
      <c r="AJ85" s="211" t="str">
        <f>+AJ6</f>
        <v>3Q-Sep 18A</v>
      </c>
      <c r="AK85" s="211" t="str">
        <f>+AK6</f>
        <v>4Q-Dec 18A</v>
      </c>
      <c r="AL85" s="519" t="str">
        <f>+AL6</f>
        <v>2018A</v>
      </c>
      <c r="AM85" s="211" t="str">
        <f>+AM6</f>
        <v>1Q-Mar 19A</v>
      </c>
      <c r="AN85" s="211" t="str">
        <f>+AN6</f>
        <v>2Q-Jun 19A</v>
      </c>
      <c r="AO85" s="211" t="str">
        <f>+AO6</f>
        <v>3Q-Sep 19A</v>
      </c>
      <c r="AP85" s="211" t="str">
        <f>+AP6</f>
        <v>4Q-Dec 19A</v>
      </c>
      <c r="AQ85" s="519" t="str">
        <f>+AQ6</f>
        <v>2019A</v>
      </c>
      <c r="AR85" s="211" t="str">
        <f>+AR6</f>
        <v>1Q-Mar 20A</v>
      </c>
      <c r="AS85" s="211" t="str">
        <f>+AS6</f>
        <v>2Q-Jun 20A</v>
      </c>
      <c r="AT85" s="211" t="str">
        <f>+AT6</f>
        <v>3Q-Sep 20A</v>
      </c>
      <c r="AU85" s="211" t="str">
        <f>+AU6</f>
        <v>4Q-Dec 20A</v>
      </c>
      <c r="AV85" s="519" t="str">
        <f>+AV6</f>
        <v>2020A</v>
      </c>
      <c r="AW85" s="211" t="str">
        <f>+AW6</f>
        <v>1Q-Mar 21A</v>
      </c>
      <c r="AX85" s="211" t="str">
        <f>+AX6</f>
        <v>2Q-Jun 21A</v>
      </c>
      <c r="AY85" s="211" t="str">
        <f>+AY6</f>
        <v>3Q-Sep 21A</v>
      </c>
      <c r="AZ85" s="211" t="str">
        <f>+AZ6</f>
        <v>4Q-Dec 21A</v>
      </c>
      <c r="BA85" s="519" t="str">
        <f>+BA6</f>
        <v>2021A</v>
      </c>
      <c r="BB85" s="211" t="str">
        <f>+BB6</f>
        <v>1Q-Mar 22A</v>
      </c>
      <c r="BC85" s="211" t="str">
        <f>+BC6</f>
        <v>2Q-Jun 22A</v>
      </c>
      <c r="BD85" s="211" t="str">
        <f>+BD6</f>
        <v>3Q-Sep 22A</v>
      </c>
      <c r="BE85" s="211" t="str">
        <f>+BE6</f>
        <v>4Q-Dec 22A</v>
      </c>
      <c r="BF85" s="519" t="str">
        <f>+BF6</f>
        <v>2022A</v>
      </c>
      <c r="BG85" s="211" t="str">
        <f>+BG6</f>
        <v>1Q-Mar 23A</v>
      </c>
      <c r="BH85" s="211" t="str">
        <f>+BH6</f>
        <v>2Q-Jun 23A</v>
      </c>
      <c r="BI85" s="211" t="str">
        <f>+BI6</f>
        <v>3Q-Sep 23A</v>
      </c>
      <c r="BJ85" s="211" t="str">
        <f>+BJ6</f>
        <v>4Q-Dec 23A</v>
      </c>
      <c r="BK85" s="519" t="str">
        <f>+BK6</f>
        <v>2023A</v>
      </c>
      <c r="BL85" s="211" t="str">
        <f>+BL6</f>
        <v>1Q-Mar 24A</v>
      </c>
      <c r="BM85" s="211" t="str">
        <f>+BM6</f>
        <v>2Q-Jun 24A</v>
      </c>
      <c r="BN85" s="211" t="str">
        <f>+BN6</f>
        <v>3Q-Sep 24A</v>
      </c>
      <c r="BO85" s="211" t="str">
        <f>+BO6</f>
        <v>4Q-Dec 24A</v>
      </c>
      <c r="BP85" s="519" t="str">
        <f>+BP6</f>
        <v>2024A</v>
      </c>
      <c r="BQ85" s="211" t="str">
        <f>+BQ6</f>
        <v>1Q-Mar 25A</v>
      </c>
      <c r="BR85" s="211" t="str">
        <f>+BR6</f>
        <v>2Q-Jun 25A</v>
      </c>
      <c r="BS85" s="211" t="str">
        <f>+BS6</f>
        <v>3Q-Sep 25A</v>
      </c>
      <c r="BT85" s="211" t="str">
        <f>+BT6</f>
        <v>4Q-Dec 25A</v>
      </c>
      <c r="BU85" s="519" t="str">
        <f>+BU6</f>
        <v>2025A</v>
      </c>
      <c r="BV85" s="211" t="str">
        <f>+BV6</f>
        <v>1Q-Mar 26E</v>
      </c>
      <c r="BW85" s="211" t="str">
        <f>+BW6</f>
        <v>2Q-Jun 26E</v>
      </c>
      <c r="BX85" s="211" t="str">
        <f>+BX6</f>
        <v>3Q-Sep 26E</v>
      </c>
      <c r="BY85" s="211" t="str">
        <f>+BY6</f>
        <v>4Q-Dec 26E</v>
      </c>
      <c r="BZ85" s="519" t="str">
        <f>+BZ6</f>
        <v>2026E</v>
      </c>
      <c r="CA85" s="211" t="str">
        <f>+CA6</f>
        <v>1Q-Mar 27E</v>
      </c>
      <c r="CB85" s="211" t="str">
        <f>+CB6</f>
        <v>2Q-Jun 27E</v>
      </c>
      <c r="CC85" s="211" t="str">
        <f>+CC6</f>
        <v>3Q-Sep 27E</v>
      </c>
      <c r="CD85" s="211" t="str">
        <f>+CD6</f>
        <v>4Q-Dec 27E</v>
      </c>
      <c r="CE85" s="519" t="str">
        <f>+CE6</f>
        <v>2027E</v>
      </c>
    </row>
    <row r="86" spans="2:83" ht="13.15" hidden="1">
      <c r="B86" s="242" t="s">
        <v>347</v>
      </c>
      <c r="C86" s="212"/>
      <c r="D86" s="231">
        <f t="shared" ref="D86:BQ86" si="398">+D$7/D$9</f>
        <v>0</v>
      </c>
      <c r="E86" s="231">
        <f t="shared" si="398"/>
        <v>0</v>
      </c>
      <c r="F86" s="231">
        <f t="shared" si="398"/>
        <v>0</v>
      </c>
      <c r="G86" s="231">
        <f t="shared" si="398"/>
        <v>0</v>
      </c>
      <c r="H86" s="231">
        <f t="shared" si="398"/>
        <v>1.1069787792605557</v>
      </c>
      <c r="I86" s="231">
        <f t="shared" si="398"/>
        <v>0</v>
      </c>
      <c r="J86" s="231">
        <f t="shared" si="398"/>
        <v>0</v>
      </c>
      <c r="K86" s="231">
        <f t="shared" si="398"/>
        <v>0</v>
      </c>
      <c r="L86" s="231">
        <f t="shared" si="398"/>
        <v>0</v>
      </c>
      <c r="M86" s="231">
        <f t="shared" si="398"/>
        <v>1.1019618013745576</v>
      </c>
      <c r="N86" s="231">
        <f t="shared" si="398"/>
        <v>1.1286401370404533</v>
      </c>
      <c r="O86" s="231">
        <f t="shared" si="398"/>
        <v>1.0137143210946691</v>
      </c>
      <c r="P86" s="231">
        <f t="shared" si="398"/>
        <v>1.0723186211715383</v>
      </c>
      <c r="Q86" s="231">
        <f t="shared" si="398"/>
        <v>1.1862029365925684</v>
      </c>
      <c r="R86" s="231">
        <f t="shared" si="398"/>
        <v>1.1021268313133052</v>
      </c>
      <c r="S86" s="231">
        <f t="shared" si="398"/>
        <v>1.1808870989251328</v>
      </c>
      <c r="T86" s="231">
        <f t="shared" si="398"/>
        <v>0.98701005592196001</v>
      </c>
      <c r="U86" s="231">
        <f t="shared" si="398"/>
        <v>1.1066189455838376</v>
      </c>
      <c r="V86" s="231">
        <f t="shared" si="398"/>
        <v>1.1369332883338958</v>
      </c>
      <c r="W86" s="520">
        <f t="shared" si="398"/>
        <v>1.102736724209296</v>
      </c>
      <c r="X86" s="231">
        <f t="shared" si="398"/>
        <v>1.0763708700916796</v>
      </c>
      <c r="Y86" s="231">
        <f t="shared" si="398"/>
        <v>1.0453101143069368</v>
      </c>
      <c r="Z86" s="231">
        <f t="shared" si="398"/>
        <v>1.1034185184458785</v>
      </c>
      <c r="AA86" s="231">
        <f t="shared" si="398"/>
        <v>1.113702512254902</v>
      </c>
      <c r="AB86" s="520">
        <f t="shared" si="398"/>
        <v>1.0855829228243021</v>
      </c>
      <c r="AC86" s="231">
        <f t="shared" si="398"/>
        <v>1.0956307298431882</v>
      </c>
      <c r="AD86" s="231">
        <f t="shared" si="398"/>
        <v>1.0848793895338324</v>
      </c>
      <c r="AE86" s="231">
        <f t="shared" si="398"/>
        <v>1.124878130778282</v>
      </c>
      <c r="AF86" s="231">
        <f t="shared" si="398"/>
        <v>1.1751410633394261</v>
      </c>
      <c r="AG86" s="520">
        <f t="shared" si="398"/>
        <v>1.1222641967179026</v>
      </c>
      <c r="AH86" s="231">
        <f t="shared" si="398"/>
        <v>1.0688985480440212</v>
      </c>
      <c r="AI86" s="231">
        <f t="shared" si="398"/>
        <v>1.0552140037856002</v>
      </c>
      <c r="AJ86" s="231">
        <f t="shared" si="398"/>
        <v>1.0515783304027464</v>
      </c>
      <c r="AK86" s="231">
        <f t="shared" si="398"/>
        <v>1.1281536388140161</v>
      </c>
      <c r="AL86" s="520">
        <f t="shared" si="398"/>
        <v>1.0768692920839473</v>
      </c>
      <c r="AM86" s="231">
        <f t="shared" si="398"/>
        <v>1.1304434386737985</v>
      </c>
      <c r="AN86" s="231">
        <f t="shared" si="398"/>
        <v>1.0273283583980539</v>
      </c>
      <c r="AO86" s="231">
        <f t="shared" si="398"/>
        <v>1.0446952377496341</v>
      </c>
      <c r="AP86" s="231">
        <f t="shared" si="398"/>
        <v>1.140177643390343</v>
      </c>
      <c r="AQ86" s="520">
        <f t="shared" si="398"/>
        <v>1.0856573395479576</v>
      </c>
      <c r="AR86" s="231">
        <f t="shared" si="398"/>
        <v>1.1123193025978693</v>
      </c>
      <c r="AS86" s="231">
        <f t="shared" si="398"/>
        <v>0.9760328717775526</v>
      </c>
      <c r="AT86" s="231">
        <f t="shared" si="398"/>
        <v>1.0059203386734574</v>
      </c>
      <c r="AU86" s="231">
        <f t="shared" si="398"/>
        <v>1.1393550700941972</v>
      </c>
      <c r="AV86" s="520">
        <f t="shared" si="398"/>
        <v>1.0587442797199715</v>
      </c>
      <c r="AW86" s="231">
        <f t="shared" si="398"/>
        <v>1.0558518334780271</v>
      </c>
      <c r="AX86" s="231">
        <f t="shared" si="398"/>
        <v>1.0930974303424204</v>
      </c>
      <c r="AY86" s="231">
        <f t="shared" si="398"/>
        <v>1.089189395238912</v>
      </c>
      <c r="AZ86" s="231">
        <f t="shared" si="398"/>
        <v>1.1852158863180908</v>
      </c>
      <c r="BA86" s="520">
        <f t="shared" si="398"/>
        <v>1.1079305011041607</v>
      </c>
      <c r="BB86" s="231">
        <f t="shared" si="398"/>
        <v>1.0798977252689119</v>
      </c>
      <c r="BC86" s="231">
        <f t="shared" si="398"/>
        <v>1.0733237136446665</v>
      </c>
      <c r="BD86" s="231">
        <f t="shared" si="398"/>
        <v>1.0256608341762172</v>
      </c>
      <c r="BE86" s="231">
        <f t="shared" si="398"/>
        <v>1.1129622694862016</v>
      </c>
      <c r="BF86" s="520">
        <f t="shared" si="398"/>
        <v>1.0732169001660121</v>
      </c>
      <c r="BG86" s="231">
        <f t="shared" si="398"/>
        <v>1.0213340679353857</v>
      </c>
      <c r="BH86" s="231">
        <f t="shared" si="398"/>
        <v>1.0432187392955272</v>
      </c>
      <c r="BI86" s="231">
        <f t="shared" si="398"/>
        <v>1.0333319248429533</v>
      </c>
      <c r="BJ86" s="231">
        <f t="shared" si="398"/>
        <v>1.1804523760116206</v>
      </c>
      <c r="BK86" s="520">
        <f t="shared" si="398"/>
        <v>1.0713110821739429</v>
      </c>
      <c r="BL86" s="231">
        <f t="shared" si="398"/>
        <v>0.99218819656390389</v>
      </c>
      <c r="BM86" s="231">
        <f t="shared" si="398"/>
        <v>0.94758856282109905</v>
      </c>
      <c r="BN86" s="231">
        <f t="shared" si="398"/>
        <v>1.0876536229340925</v>
      </c>
      <c r="BO86" s="231">
        <f t="shared" si="398"/>
        <v>1.2112933520111062</v>
      </c>
      <c r="BP86" s="520">
        <f t="shared" ref="BP86" si="399">+BP$7/BP$9</f>
        <v>1.0628568512980376</v>
      </c>
      <c r="BQ86" s="231">
        <f t="shared" si="398"/>
        <v>0.97102545982151234</v>
      </c>
      <c r="BR86" s="231">
        <f t="shared" ref="BR86:CE86" si="400">+BR$7/BR$9</f>
        <v>0.92775292267557385</v>
      </c>
      <c r="BS86" s="231">
        <f t="shared" si="400"/>
        <v>1.0971556727610929</v>
      </c>
      <c r="BT86" s="231">
        <f t="shared" si="400"/>
        <v>1.1691616937278215</v>
      </c>
      <c r="BU86" s="520">
        <f t="shared" si="400"/>
        <v>1.0443414907528488</v>
      </c>
      <c r="BV86" s="231">
        <f t="shared" si="400"/>
        <v>0.97142735522305412</v>
      </c>
      <c r="BW86" s="231">
        <f t="shared" si="400"/>
        <v>0.9277529226755743</v>
      </c>
      <c r="BX86" s="231">
        <f t="shared" si="400"/>
        <v>1.0976075596111443</v>
      </c>
      <c r="BY86" s="231">
        <f t="shared" si="400"/>
        <v>1.1600488750464271</v>
      </c>
      <c r="BZ86" s="520">
        <f t="shared" si="400"/>
        <v>1.0417346611236631</v>
      </c>
      <c r="CA86" s="231">
        <f t="shared" si="400"/>
        <v>0.96098775511283741</v>
      </c>
      <c r="CB86" s="231">
        <f t="shared" si="400"/>
        <v>0.92775292267557341</v>
      </c>
      <c r="CC86" s="231">
        <f t="shared" si="400"/>
        <v>1.0985283856452122</v>
      </c>
      <c r="CD86" s="231">
        <f t="shared" si="400"/>
        <v>1.1615587700940349</v>
      </c>
      <c r="CE86" s="520">
        <f t="shared" si="400"/>
        <v>1.0392344184446873</v>
      </c>
    </row>
    <row r="87" spans="2:83" ht="12.6" customHeight="1">
      <c r="B87" s="212" t="s">
        <v>157</v>
      </c>
      <c r="C87" s="212"/>
      <c r="D87" s="231">
        <f>+D$9/D$9</f>
        <v>1</v>
      </c>
      <c r="E87" s="231">
        <f t="shared" ref="E87:BQ87" si="401">+E$9/E$9</f>
        <v>1</v>
      </c>
      <c r="F87" s="231">
        <f t="shared" si="401"/>
        <v>1</v>
      </c>
      <c r="G87" s="231">
        <f t="shared" si="401"/>
        <v>1</v>
      </c>
      <c r="H87" s="231">
        <f t="shared" si="401"/>
        <v>1</v>
      </c>
      <c r="I87" s="231">
        <f t="shared" si="401"/>
        <v>1</v>
      </c>
      <c r="J87" s="231">
        <f t="shared" si="401"/>
        <v>1</v>
      </c>
      <c r="K87" s="231">
        <f t="shared" si="401"/>
        <v>1</v>
      </c>
      <c r="L87" s="231">
        <f t="shared" si="401"/>
        <v>1</v>
      </c>
      <c r="M87" s="231">
        <f t="shared" si="401"/>
        <v>1</v>
      </c>
      <c r="N87" s="231">
        <f t="shared" si="401"/>
        <v>1</v>
      </c>
      <c r="O87" s="231">
        <f t="shared" si="401"/>
        <v>1</v>
      </c>
      <c r="P87" s="231">
        <f t="shared" si="401"/>
        <v>1</v>
      </c>
      <c r="Q87" s="231">
        <f t="shared" si="401"/>
        <v>1</v>
      </c>
      <c r="R87" s="231">
        <f t="shared" si="401"/>
        <v>1</v>
      </c>
      <c r="S87" s="231">
        <f t="shared" si="401"/>
        <v>1</v>
      </c>
      <c r="T87" s="231">
        <f t="shared" si="401"/>
        <v>1</v>
      </c>
      <c r="U87" s="231">
        <f t="shared" si="401"/>
        <v>1</v>
      </c>
      <c r="V87" s="231">
        <f t="shared" si="401"/>
        <v>1</v>
      </c>
      <c r="W87" s="520">
        <f t="shared" si="401"/>
        <v>1</v>
      </c>
      <c r="X87" s="231">
        <f t="shared" si="401"/>
        <v>1</v>
      </c>
      <c r="Y87" s="231">
        <f t="shared" si="401"/>
        <v>1</v>
      </c>
      <c r="Z87" s="231">
        <f t="shared" si="401"/>
        <v>1</v>
      </c>
      <c r="AA87" s="231">
        <f t="shared" si="401"/>
        <v>1</v>
      </c>
      <c r="AB87" s="520">
        <f t="shared" si="401"/>
        <v>1</v>
      </c>
      <c r="AC87" s="231">
        <f t="shared" si="401"/>
        <v>1</v>
      </c>
      <c r="AD87" s="231">
        <f t="shared" si="401"/>
        <v>1</v>
      </c>
      <c r="AE87" s="231">
        <f t="shared" si="401"/>
        <v>1</v>
      </c>
      <c r="AF87" s="231">
        <f t="shared" si="401"/>
        <v>1</v>
      </c>
      <c r="AG87" s="520">
        <f t="shared" si="401"/>
        <v>1</v>
      </c>
      <c r="AH87" s="231">
        <f t="shared" si="401"/>
        <v>1</v>
      </c>
      <c r="AI87" s="231">
        <f t="shared" si="401"/>
        <v>1</v>
      </c>
      <c r="AJ87" s="231">
        <f t="shared" si="401"/>
        <v>1</v>
      </c>
      <c r="AK87" s="231">
        <f t="shared" si="401"/>
        <v>1</v>
      </c>
      <c r="AL87" s="520">
        <f t="shared" si="401"/>
        <v>1</v>
      </c>
      <c r="AM87" s="231">
        <f t="shared" si="401"/>
        <v>1</v>
      </c>
      <c r="AN87" s="231">
        <f t="shared" si="401"/>
        <v>1</v>
      </c>
      <c r="AO87" s="231">
        <f t="shared" si="401"/>
        <v>1</v>
      </c>
      <c r="AP87" s="231">
        <f t="shared" si="401"/>
        <v>1</v>
      </c>
      <c r="AQ87" s="520">
        <f t="shared" si="401"/>
        <v>1</v>
      </c>
      <c r="AR87" s="231">
        <f t="shared" si="401"/>
        <v>1</v>
      </c>
      <c r="AS87" s="231">
        <f t="shared" si="401"/>
        <v>1</v>
      </c>
      <c r="AT87" s="231">
        <f t="shared" si="401"/>
        <v>1</v>
      </c>
      <c r="AU87" s="231">
        <f t="shared" si="401"/>
        <v>1</v>
      </c>
      <c r="AV87" s="520">
        <f t="shared" si="401"/>
        <v>1</v>
      </c>
      <c r="AW87" s="231">
        <f t="shared" si="401"/>
        <v>1</v>
      </c>
      <c r="AX87" s="231">
        <f t="shared" si="401"/>
        <v>1</v>
      </c>
      <c r="AY87" s="231">
        <f t="shared" si="401"/>
        <v>1</v>
      </c>
      <c r="AZ87" s="231">
        <f t="shared" si="401"/>
        <v>1</v>
      </c>
      <c r="BA87" s="520">
        <f t="shared" si="401"/>
        <v>1</v>
      </c>
      <c r="BB87" s="231">
        <f t="shared" si="401"/>
        <v>1</v>
      </c>
      <c r="BC87" s="231">
        <f t="shared" si="401"/>
        <v>1</v>
      </c>
      <c r="BD87" s="231">
        <f t="shared" si="401"/>
        <v>1</v>
      </c>
      <c r="BE87" s="231">
        <f t="shared" si="401"/>
        <v>1</v>
      </c>
      <c r="BF87" s="520">
        <f t="shared" si="401"/>
        <v>1</v>
      </c>
      <c r="BG87" s="231">
        <f t="shared" si="401"/>
        <v>1</v>
      </c>
      <c r="BH87" s="231">
        <f t="shared" si="401"/>
        <v>1</v>
      </c>
      <c r="BI87" s="231">
        <f t="shared" si="401"/>
        <v>1</v>
      </c>
      <c r="BJ87" s="231">
        <f t="shared" si="401"/>
        <v>1</v>
      </c>
      <c r="BK87" s="520">
        <f t="shared" si="401"/>
        <v>1</v>
      </c>
      <c r="BL87" s="231">
        <f t="shared" si="401"/>
        <v>1</v>
      </c>
      <c r="BM87" s="231">
        <f t="shared" si="401"/>
        <v>1</v>
      </c>
      <c r="BN87" s="231">
        <f t="shared" si="401"/>
        <v>1</v>
      </c>
      <c r="BO87" s="231">
        <f t="shared" si="401"/>
        <v>1</v>
      </c>
      <c r="BP87" s="520">
        <f t="shared" si="401"/>
        <v>1</v>
      </c>
      <c r="BQ87" s="231">
        <f t="shared" si="401"/>
        <v>1</v>
      </c>
      <c r="BR87" s="231">
        <f t="shared" ref="BR87:CE87" si="402">+BR$9/BR$9</f>
        <v>1</v>
      </c>
      <c r="BS87" s="231">
        <f t="shared" si="402"/>
        <v>1</v>
      </c>
      <c r="BT87" s="231">
        <f t="shared" si="402"/>
        <v>1</v>
      </c>
      <c r="BU87" s="520">
        <f t="shared" si="402"/>
        <v>1</v>
      </c>
      <c r="BV87" s="231">
        <f t="shared" si="402"/>
        <v>1</v>
      </c>
      <c r="BW87" s="231">
        <f t="shared" si="402"/>
        <v>1</v>
      </c>
      <c r="BX87" s="231">
        <f t="shared" si="402"/>
        <v>1</v>
      </c>
      <c r="BY87" s="231">
        <f t="shared" si="402"/>
        <v>1</v>
      </c>
      <c r="BZ87" s="520">
        <f t="shared" si="402"/>
        <v>1</v>
      </c>
      <c r="CA87" s="231">
        <f t="shared" si="402"/>
        <v>1</v>
      </c>
      <c r="CB87" s="231">
        <f t="shared" si="402"/>
        <v>1</v>
      </c>
      <c r="CC87" s="231">
        <f t="shared" si="402"/>
        <v>1</v>
      </c>
      <c r="CD87" s="231">
        <f t="shared" si="402"/>
        <v>1</v>
      </c>
      <c r="CE87" s="520">
        <f t="shared" si="402"/>
        <v>1</v>
      </c>
    </row>
    <row r="88" spans="2:83" ht="12.6" customHeight="1">
      <c r="B88" s="212"/>
      <c r="C88" s="212"/>
      <c r="D88" s="231"/>
      <c r="E88" s="231"/>
      <c r="F88" s="231"/>
      <c r="G88" s="231"/>
      <c r="H88" s="231"/>
      <c r="I88" s="231"/>
      <c r="J88" s="231"/>
      <c r="K88" s="231"/>
      <c r="L88" s="231"/>
      <c r="M88" s="231"/>
      <c r="N88" s="231"/>
      <c r="O88" s="231"/>
      <c r="P88" s="231"/>
      <c r="Q88" s="231"/>
      <c r="R88" s="231"/>
      <c r="S88" s="231"/>
      <c r="T88" s="231"/>
      <c r="U88" s="231"/>
      <c r="V88" s="231"/>
      <c r="W88" s="520"/>
      <c r="X88" s="231"/>
      <c r="Y88" s="231"/>
      <c r="Z88" s="231"/>
      <c r="AA88" s="231"/>
      <c r="AB88" s="520"/>
      <c r="AC88" s="231"/>
      <c r="AD88" s="231"/>
      <c r="AE88" s="231"/>
      <c r="AF88" s="231"/>
      <c r="AG88" s="520"/>
      <c r="AH88" s="231"/>
      <c r="AI88" s="231"/>
      <c r="AJ88" s="231"/>
      <c r="AK88" s="231"/>
      <c r="AL88" s="520"/>
      <c r="AM88" s="231"/>
      <c r="AN88" s="231"/>
      <c r="AO88" s="231"/>
      <c r="AP88" s="231"/>
      <c r="AQ88" s="520"/>
      <c r="AR88" s="231"/>
      <c r="AS88" s="231"/>
      <c r="AT88" s="231"/>
      <c r="AU88" s="231"/>
      <c r="AV88" s="520"/>
      <c r="AW88" s="231"/>
      <c r="AX88" s="231"/>
      <c r="AY88" s="231"/>
      <c r="AZ88" s="231"/>
      <c r="BA88" s="520"/>
      <c r="BB88" s="231"/>
      <c r="BC88" s="231"/>
      <c r="BD88" s="231"/>
      <c r="BE88" s="231"/>
      <c r="BF88" s="520"/>
      <c r="BG88" s="231"/>
      <c r="BH88" s="231"/>
      <c r="BI88" s="231"/>
      <c r="BJ88" s="231"/>
      <c r="BK88" s="520"/>
      <c r="BL88" s="231"/>
      <c r="BM88" s="231"/>
      <c r="BN88" s="231"/>
      <c r="BO88" s="231"/>
      <c r="BP88" s="520"/>
      <c r="BQ88" s="231"/>
      <c r="BR88" s="231"/>
      <c r="BS88" s="231"/>
      <c r="BT88" s="231"/>
      <c r="BU88" s="520"/>
      <c r="BV88" s="231"/>
      <c r="BW88" s="231"/>
      <c r="BX88" s="231"/>
      <c r="BY88" s="231"/>
      <c r="BZ88" s="520"/>
      <c r="CA88" s="231"/>
      <c r="CB88" s="231"/>
      <c r="CC88" s="231"/>
      <c r="CD88" s="231"/>
      <c r="CE88" s="520"/>
    </row>
    <row r="89" spans="2:83" ht="12.6" customHeight="1">
      <c r="B89" s="206" t="s">
        <v>4</v>
      </c>
      <c r="C89" s="213"/>
      <c r="D89" s="232">
        <f>+D$14/D$9</f>
        <v>0.19376150252465668</v>
      </c>
      <c r="E89" s="232">
        <f t="shared" ref="E89:BQ89" si="403">+E$14/E$9</f>
        <v>0.20531771068048665</v>
      </c>
      <c r="F89" s="232">
        <f t="shared" si="403"/>
        <v>0.19527841929689507</v>
      </c>
      <c r="G89" s="232">
        <f t="shared" si="403"/>
        <v>0.19872652796366139</v>
      </c>
      <c r="H89" s="232">
        <f t="shared" si="403"/>
        <v>0.19829359002406477</v>
      </c>
      <c r="I89" s="232">
        <f t="shared" si="403"/>
        <v>0.22915243338825705</v>
      </c>
      <c r="J89" s="232">
        <f t="shared" si="403"/>
        <v>0.22110227834620216</v>
      </c>
      <c r="K89" s="232">
        <f t="shared" si="403"/>
        <v>0.22746765649212583</v>
      </c>
      <c r="L89" s="232">
        <f t="shared" si="403"/>
        <v>0.22042770067839801</v>
      </c>
      <c r="M89" s="232">
        <f t="shared" si="403"/>
        <v>0.22441229321427911</v>
      </c>
      <c r="N89" s="232">
        <f t="shared" si="403"/>
        <v>0.2206153643431282</v>
      </c>
      <c r="O89" s="232">
        <f t="shared" si="403"/>
        <v>0.21723113119930651</v>
      </c>
      <c r="P89" s="232">
        <f t="shared" si="403"/>
        <v>0.21095842552695937</v>
      </c>
      <c r="Q89" s="232">
        <f t="shared" si="403"/>
        <v>0.19812429934651246</v>
      </c>
      <c r="R89" s="232">
        <f t="shared" si="403"/>
        <v>0.2111559451710224</v>
      </c>
      <c r="S89" s="232">
        <f t="shared" si="403"/>
        <v>0.20366468407436056</v>
      </c>
      <c r="T89" s="232">
        <f t="shared" si="403"/>
        <v>0.19592747699174964</v>
      </c>
      <c r="U89" s="232">
        <f t="shared" si="403"/>
        <v>0.19847418116743978</v>
      </c>
      <c r="V89" s="232">
        <f t="shared" si="403"/>
        <v>0.19703003712453598</v>
      </c>
      <c r="W89" s="521">
        <f t="shared" si="403"/>
        <v>0.19864989895546736</v>
      </c>
      <c r="X89" s="232">
        <f t="shared" si="403"/>
        <v>0.19540304445597648</v>
      </c>
      <c r="Y89" s="232">
        <f t="shared" si="403"/>
        <v>0.19950068088969586</v>
      </c>
      <c r="Z89" s="232">
        <f t="shared" si="403"/>
        <v>0.21126953929432993</v>
      </c>
      <c r="AA89" s="232">
        <f t="shared" si="403"/>
        <v>0.21325444240196079</v>
      </c>
      <c r="AB89" s="521">
        <f t="shared" si="403"/>
        <v>0.20520399141088796</v>
      </c>
      <c r="AC89" s="232">
        <f t="shared" si="403"/>
        <v>0.22200259784266113</v>
      </c>
      <c r="AD89" s="232">
        <f t="shared" si="403"/>
        <v>0.21006473545260571</v>
      </c>
      <c r="AE89" s="232">
        <f t="shared" si="403"/>
        <v>0.20356362413851067</v>
      </c>
      <c r="AF89" s="232">
        <f t="shared" si="403"/>
        <v>0.21363744734959866</v>
      </c>
      <c r="AG89" s="521">
        <f t="shared" si="403"/>
        <v>0.21211031590621587</v>
      </c>
      <c r="AH89" s="232">
        <f t="shared" si="403"/>
        <v>0.22563889145781313</v>
      </c>
      <c r="AI89" s="232">
        <f t="shared" si="403"/>
        <v>0.21715845230584127</v>
      </c>
      <c r="AJ89" s="232">
        <f t="shared" si="403"/>
        <v>0.20998353289234978</v>
      </c>
      <c r="AK89" s="232">
        <f t="shared" si="403"/>
        <v>0.21004043126684635</v>
      </c>
      <c r="AL89" s="521">
        <f t="shared" si="403"/>
        <v>0.21539393809006452</v>
      </c>
      <c r="AM89" s="232">
        <f t="shared" si="403"/>
        <v>0.20796888894787838</v>
      </c>
      <c r="AN89" s="232">
        <f t="shared" si="403"/>
        <v>0.19621431919826679</v>
      </c>
      <c r="AO89" s="232">
        <f t="shared" si="403"/>
        <v>0.18187756286968829</v>
      </c>
      <c r="AP89" s="232">
        <f t="shared" si="403"/>
        <v>0.17811584616838325</v>
      </c>
      <c r="AQ89" s="521">
        <f t="shared" si="403"/>
        <v>0.19051824120743641</v>
      </c>
      <c r="AR89" s="232">
        <f t="shared" si="403"/>
        <v>0.18995397795114941</v>
      </c>
      <c r="AS89" s="232">
        <f t="shared" si="403"/>
        <v>0.18927164246313183</v>
      </c>
      <c r="AT89" s="232">
        <f t="shared" si="403"/>
        <v>0.19630596654095347</v>
      </c>
      <c r="AU89" s="232">
        <f t="shared" si="403"/>
        <v>0.1983101444077594</v>
      </c>
      <c r="AV89" s="521">
        <f t="shared" si="403"/>
        <v>0.19359824555119942</v>
      </c>
      <c r="AW89" s="232">
        <f t="shared" si="403"/>
        <v>0.19828227706808879</v>
      </c>
      <c r="AX89" s="232">
        <f t="shared" si="403"/>
        <v>0.19147058233535938</v>
      </c>
      <c r="AY89" s="232">
        <f t="shared" si="403"/>
        <v>0.18938570911239447</v>
      </c>
      <c r="AZ89" s="232">
        <f t="shared" si="403"/>
        <v>0.19154672982328294</v>
      </c>
      <c r="BA89" s="521">
        <f t="shared" si="403"/>
        <v>0.19256175031373732</v>
      </c>
      <c r="BB89" s="232">
        <f t="shared" si="403"/>
        <v>0.18780638335390584</v>
      </c>
      <c r="BC89" s="232">
        <f t="shared" si="403"/>
        <v>0.18669980732820099</v>
      </c>
      <c r="BD89" s="232">
        <f t="shared" si="403"/>
        <v>0.18594149457235926</v>
      </c>
      <c r="BE89" s="232">
        <f t="shared" si="403"/>
        <v>0.19186237571551942</v>
      </c>
      <c r="BF89" s="521">
        <f t="shared" si="403"/>
        <v>0.18814105116565896</v>
      </c>
      <c r="BG89" s="232">
        <f t="shared" si="403"/>
        <v>0.18835655747113245</v>
      </c>
      <c r="BH89" s="232">
        <f t="shared" si="403"/>
        <v>0.17635869367169793</v>
      </c>
      <c r="BI89" s="232">
        <f t="shared" si="403"/>
        <v>0.16934279838868702</v>
      </c>
      <c r="BJ89" s="232">
        <f t="shared" si="403"/>
        <v>0.16835443037974684</v>
      </c>
      <c r="BK89" s="521">
        <f t="shared" si="403"/>
        <v>0.17530272806957425</v>
      </c>
      <c r="BL89" s="232">
        <f t="shared" si="403"/>
        <v>0.16755941154281404</v>
      </c>
      <c r="BM89" s="232">
        <f t="shared" si="403"/>
        <v>0.1600653629932485</v>
      </c>
      <c r="BN89" s="232">
        <f t="shared" si="403"/>
        <v>0.16927606309345083</v>
      </c>
      <c r="BO89" s="232">
        <f t="shared" si="403"/>
        <v>0.16480831202769</v>
      </c>
      <c r="BP89" s="521">
        <f t="shared" si="403"/>
        <v>0.16543910094458097</v>
      </c>
      <c r="BQ89" s="232">
        <f t="shared" si="403"/>
        <v>0.16382841668803433</v>
      </c>
      <c r="BR89" s="232">
        <f t="shared" ref="BR89:CE89" si="404">+BR$14/BR$9</f>
        <v>0.16004924967390377</v>
      </c>
      <c r="BS89" s="232">
        <f t="shared" si="404"/>
        <v>0.14708444685134386</v>
      </c>
      <c r="BT89" s="232">
        <f t="shared" si="404"/>
        <v>0.14970732876165266</v>
      </c>
      <c r="BU89" s="521">
        <f t="shared" si="404"/>
        <v>0.1549516159163086</v>
      </c>
      <c r="BV89" s="232">
        <f t="shared" si="404"/>
        <v>0.16000000000000003</v>
      </c>
      <c r="BW89" s="232">
        <f t="shared" si="404"/>
        <v>0.15999999999999998</v>
      </c>
      <c r="BX89" s="232">
        <f t="shared" si="404"/>
        <v>0.157</v>
      </c>
      <c r="BY89" s="232">
        <f t="shared" si="404"/>
        <v>0.155</v>
      </c>
      <c r="BZ89" s="521">
        <f t="shared" si="404"/>
        <v>0.15793906709858224</v>
      </c>
      <c r="CA89" s="232">
        <f t="shared" si="404"/>
        <v>0.158</v>
      </c>
      <c r="CB89" s="232">
        <f t="shared" si="404"/>
        <v>0.15600000000000008</v>
      </c>
      <c r="CC89" s="232">
        <f t="shared" si="404"/>
        <v>0.15499999999999997</v>
      </c>
      <c r="CD89" s="232">
        <f t="shared" si="404"/>
        <v>0.15000000000000005</v>
      </c>
      <c r="CE89" s="521">
        <f t="shared" si="404"/>
        <v>0.15468502400694112</v>
      </c>
    </row>
    <row r="90" spans="2:83" ht="6.95" customHeight="1">
      <c r="B90" s="212"/>
      <c r="C90" s="212"/>
      <c r="D90" s="189" t="s">
        <v>0</v>
      </c>
      <c r="E90" s="189" t="s">
        <v>0</v>
      </c>
      <c r="F90" s="189" t="s">
        <v>0</v>
      </c>
      <c r="G90" s="189" t="s">
        <v>0</v>
      </c>
      <c r="H90" s="189" t="s">
        <v>0</v>
      </c>
      <c r="I90" s="189" t="s">
        <v>0</v>
      </c>
      <c r="J90" s="189" t="s">
        <v>0</v>
      </c>
      <c r="K90" s="189" t="s">
        <v>0</v>
      </c>
      <c r="L90" s="189" t="s">
        <v>0</v>
      </c>
      <c r="M90" s="189" t="s">
        <v>0</v>
      </c>
      <c r="N90" s="189" t="s">
        <v>0</v>
      </c>
      <c r="O90" s="189" t="s">
        <v>0</v>
      </c>
      <c r="P90" s="189" t="s">
        <v>0</v>
      </c>
      <c r="Q90" s="189" t="s">
        <v>0</v>
      </c>
      <c r="R90" s="189" t="s">
        <v>0</v>
      </c>
      <c r="S90" s="189" t="s">
        <v>0</v>
      </c>
      <c r="T90" s="189" t="s">
        <v>0</v>
      </c>
      <c r="U90" s="189" t="s">
        <v>0</v>
      </c>
      <c r="V90" s="189" t="s">
        <v>0</v>
      </c>
      <c r="W90" s="522" t="s">
        <v>0</v>
      </c>
      <c r="X90" s="189" t="s">
        <v>0</v>
      </c>
      <c r="Y90" s="189" t="s">
        <v>0</v>
      </c>
      <c r="Z90" s="189" t="s">
        <v>0</v>
      </c>
      <c r="AA90" s="189" t="s">
        <v>0</v>
      </c>
      <c r="AB90" s="522" t="s">
        <v>0</v>
      </c>
      <c r="AC90" s="189" t="s">
        <v>0</v>
      </c>
      <c r="AD90" s="189" t="s">
        <v>0</v>
      </c>
      <c r="AE90" s="189" t="s">
        <v>0</v>
      </c>
      <c r="AF90" s="189" t="s">
        <v>0</v>
      </c>
      <c r="AG90" s="522" t="s">
        <v>0</v>
      </c>
      <c r="AH90" s="189" t="s">
        <v>0</v>
      </c>
      <c r="AI90" s="189" t="s">
        <v>0</v>
      </c>
      <c r="AJ90" s="189" t="s">
        <v>0</v>
      </c>
      <c r="AK90" s="189" t="s">
        <v>0</v>
      </c>
      <c r="AL90" s="522" t="s">
        <v>0</v>
      </c>
      <c r="AM90" s="189" t="s">
        <v>0</v>
      </c>
      <c r="AN90" s="189" t="s">
        <v>0</v>
      </c>
      <c r="AO90" s="189" t="s">
        <v>0</v>
      </c>
      <c r="AP90" s="189" t="s">
        <v>0</v>
      </c>
      <c r="AQ90" s="522" t="s">
        <v>0</v>
      </c>
      <c r="AR90" s="189" t="s">
        <v>0</v>
      </c>
      <c r="AS90" s="189" t="s">
        <v>0</v>
      </c>
      <c r="AT90" s="189" t="s">
        <v>0</v>
      </c>
      <c r="AU90" s="189" t="s">
        <v>0</v>
      </c>
      <c r="AV90" s="522" t="s">
        <v>0</v>
      </c>
      <c r="AW90" s="189" t="s">
        <v>0</v>
      </c>
      <c r="AX90" s="189" t="s">
        <v>0</v>
      </c>
      <c r="AY90" s="189" t="s">
        <v>0</v>
      </c>
      <c r="AZ90" s="189" t="s">
        <v>0</v>
      </c>
      <c r="BA90" s="522" t="s">
        <v>0</v>
      </c>
      <c r="BB90" s="189" t="s">
        <v>0</v>
      </c>
      <c r="BC90" s="189" t="s">
        <v>0</v>
      </c>
      <c r="BD90" s="189" t="s">
        <v>0</v>
      </c>
      <c r="BE90" s="189" t="s">
        <v>0</v>
      </c>
      <c r="BF90" s="522" t="s">
        <v>0</v>
      </c>
      <c r="BG90" s="189" t="s">
        <v>0</v>
      </c>
      <c r="BH90" s="189" t="s">
        <v>0</v>
      </c>
      <c r="BI90" s="189" t="s">
        <v>0</v>
      </c>
      <c r="BJ90" s="189" t="s">
        <v>0</v>
      </c>
      <c r="BK90" s="522" t="s">
        <v>0</v>
      </c>
      <c r="BL90" s="189" t="s">
        <v>0</v>
      </c>
      <c r="BM90" s="189" t="s">
        <v>0</v>
      </c>
      <c r="BN90" s="189" t="s">
        <v>0</v>
      </c>
      <c r="BO90" s="189" t="s">
        <v>0</v>
      </c>
      <c r="BP90" s="522" t="s">
        <v>0</v>
      </c>
      <c r="BQ90" s="189" t="s">
        <v>0</v>
      </c>
      <c r="BR90" s="189" t="s">
        <v>0</v>
      </c>
      <c r="BS90" s="189" t="s">
        <v>0</v>
      </c>
      <c r="BT90" s="189" t="s">
        <v>0</v>
      </c>
      <c r="BU90" s="522" t="s">
        <v>0</v>
      </c>
      <c r="BV90" s="189" t="s">
        <v>0</v>
      </c>
      <c r="BW90" s="189" t="s">
        <v>0</v>
      </c>
      <c r="BX90" s="189" t="s">
        <v>0</v>
      </c>
      <c r="BY90" s="189" t="s">
        <v>0</v>
      </c>
      <c r="BZ90" s="522" t="s">
        <v>0</v>
      </c>
      <c r="CA90" s="189" t="s">
        <v>0</v>
      </c>
      <c r="CB90" s="189" t="s">
        <v>0</v>
      </c>
      <c r="CC90" s="189" t="s">
        <v>0</v>
      </c>
      <c r="CD90" s="189" t="s">
        <v>0</v>
      </c>
      <c r="CE90" s="522" t="s">
        <v>0</v>
      </c>
    </row>
    <row r="91" spans="2:83" ht="12.6" customHeight="1">
      <c r="B91" s="186" t="s">
        <v>1</v>
      </c>
      <c r="C91" s="214"/>
      <c r="D91" s="232">
        <f>+D$16/D$9</f>
        <v>0.80623849747534326</v>
      </c>
      <c r="E91" s="232">
        <f t="shared" ref="E91:BQ91" si="405">+E$16/E$9</f>
        <v>0.79468228931951335</v>
      </c>
      <c r="F91" s="232">
        <f t="shared" si="405"/>
        <v>0.80472158070310496</v>
      </c>
      <c r="G91" s="232">
        <f t="shared" si="405"/>
        <v>0.80127347203633859</v>
      </c>
      <c r="H91" s="232">
        <f t="shared" si="405"/>
        <v>0.80170640997593523</v>
      </c>
      <c r="I91" s="232">
        <f t="shared" si="405"/>
        <v>0.77084756661174292</v>
      </c>
      <c r="J91" s="232">
        <f t="shared" si="405"/>
        <v>0.77889772165379789</v>
      </c>
      <c r="K91" s="232">
        <f t="shared" si="405"/>
        <v>0.77253234350787414</v>
      </c>
      <c r="L91" s="232">
        <f t="shared" si="405"/>
        <v>0.77957229932160199</v>
      </c>
      <c r="M91" s="232">
        <f t="shared" si="405"/>
        <v>0.77558770678572098</v>
      </c>
      <c r="N91" s="232">
        <f t="shared" si="405"/>
        <v>0.77938463565687177</v>
      </c>
      <c r="O91" s="232">
        <f t="shared" si="405"/>
        <v>0.78276886880069341</v>
      </c>
      <c r="P91" s="232">
        <f t="shared" si="405"/>
        <v>0.78904157447304069</v>
      </c>
      <c r="Q91" s="232">
        <f t="shared" si="405"/>
        <v>0.80187570065348757</v>
      </c>
      <c r="R91" s="232">
        <f t="shared" si="405"/>
        <v>0.78884405482897757</v>
      </c>
      <c r="S91" s="232">
        <f t="shared" si="405"/>
        <v>0.79633531592563944</v>
      </c>
      <c r="T91" s="232">
        <f t="shared" si="405"/>
        <v>0.80407252300825038</v>
      </c>
      <c r="U91" s="232">
        <f t="shared" si="405"/>
        <v>0.80152581883256024</v>
      </c>
      <c r="V91" s="232">
        <f t="shared" si="405"/>
        <v>0.80296996287546407</v>
      </c>
      <c r="W91" s="521">
        <f t="shared" si="405"/>
        <v>0.80135010104453264</v>
      </c>
      <c r="X91" s="232">
        <f t="shared" si="405"/>
        <v>0.80459695554402355</v>
      </c>
      <c r="Y91" s="232">
        <f t="shared" si="405"/>
        <v>0.80049931911030414</v>
      </c>
      <c r="Z91" s="232">
        <f t="shared" si="405"/>
        <v>0.7887304607056701</v>
      </c>
      <c r="AA91" s="232">
        <f t="shared" si="405"/>
        <v>0.78674555759803921</v>
      </c>
      <c r="AB91" s="521">
        <f t="shared" si="405"/>
        <v>0.79479600858911204</v>
      </c>
      <c r="AC91" s="232">
        <f t="shared" si="405"/>
        <v>0.77799740215733892</v>
      </c>
      <c r="AD91" s="232">
        <f t="shared" si="405"/>
        <v>0.78993526454739427</v>
      </c>
      <c r="AE91" s="232">
        <f t="shared" si="405"/>
        <v>0.7964363758614893</v>
      </c>
      <c r="AF91" s="232">
        <f t="shared" si="405"/>
        <v>0.78636255265040134</v>
      </c>
      <c r="AG91" s="521">
        <f t="shared" si="405"/>
        <v>0.78788968409378413</v>
      </c>
      <c r="AH91" s="232">
        <f t="shared" si="405"/>
        <v>0.77436110854218687</v>
      </c>
      <c r="AI91" s="232">
        <f t="shared" si="405"/>
        <v>0.7828415476941587</v>
      </c>
      <c r="AJ91" s="232">
        <f t="shared" si="405"/>
        <v>0.79001646710765028</v>
      </c>
      <c r="AK91" s="232">
        <f t="shared" si="405"/>
        <v>0.78995956873315365</v>
      </c>
      <c r="AL91" s="521">
        <f t="shared" si="405"/>
        <v>0.78460606190993554</v>
      </c>
      <c r="AM91" s="232">
        <f t="shared" si="405"/>
        <v>0.79203111105212165</v>
      </c>
      <c r="AN91" s="232">
        <f t="shared" si="405"/>
        <v>0.80378568080173318</v>
      </c>
      <c r="AO91" s="232">
        <f t="shared" si="405"/>
        <v>0.81812243713031174</v>
      </c>
      <c r="AP91" s="232">
        <f t="shared" si="405"/>
        <v>0.82188415383161673</v>
      </c>
      <c r="AQ91" s="521">
        <f t="shared" si="405"/>
        <v>0.80948175879256357</v>
      </c>
      <c r="AR91" s="232">
        <f t="shared" si="405"/>
        <v>0.81004602204885057</v>
      </c>
      <c r="AS91" s="232">
        <f t="shared" si="405"/>
        <v>0.81072835753686823</v>
      </c>
      <c r="AT91" s="524">
        <f t="shared" si="405"/>
        <v>0.80369403345904655</v>
      </c>
      <c r="AU91" s="232">
        <f t="shared" si="405"/>
        <v>0.8016898555922406</v>
      </c>
      <c r="AV91" s="521">
        <f t="shared" si="405"/>
        <v>0.80640175444880058</v>
      </c>
      <c r="AW91" s="232">
        <f t="shared" si="405"/>
        <v>0.80171772293191124</v>
      </c>
      <c r="AX91" s="232">
        <f t="shared" si="405"/>
        <v>0.80852941766464059</v>
      </c>
      <c r="AY91" s="232">
        <f t="shared" si="405"/>
        <v>0.8106142908876055</v>
      </c>
      <c r="AZ91" s="232">
        <f t="shared" si="405"/>
        <v>0.80845327017671709</v>
      </c>
      <c r="BA91" s="521">
        <f t="shared" si="405"/>
        <v>0.80743824968626265</v>
      </c>
      <c r="BB91" s="232">
        <f t="shared" si="405"/>
        <v>0.81219361664609413</v>
      </c>
      <c r="BC91" s="232">
        <f t="shared" si="405"/>
        <v>0.81330019267179898</v>
      </c>
      <c r="BD91" s="232">
        <f t="shared" si="405"/>
        <v>0.8140585054276408</v>
      </c>
      <c r="BE91" s="232">
        <f t="shared" si="405"/>
        <v>0.80813762428448055</v>
      </c>
      <c r="BF91" s="521">
        <f t="shared" si="405"/>
        <v>0.81185894883434107</v>
      </c>
      <c r="BG91" s="232">
        <f t="shared" si="405"/>
        <v>0.81164344252886755</v>
      </c>
      <c r="BH91" s="232">
        <f t="shared" si="405"/>
        <v>0.82364130632830213</v>
      </c>
      <c r="BI91" s="232">
        <f t="shared" si="405"/>
        <v>0.83065720161131296</v>
      </c>
      <c r="BJ91" s="232">
        <f t="shared" si="405"/>
        <v>0.83164556962025316</v>
      </c>
      <c r="BK91" s="521">
        <f t="shared" si="405"/>
        <v>0.82469727193042575</v>
      </c>
      <c r="BL91" s="232">
        <f t="shared" si="405"/>
        <v>0.83244058845718594</v>
      </c>
      <c r="BM91" s="232">
        <f t="shared" si="405"/>
        <v>0.83993463700675153</v>
      </c>
      <c r="BN91" s="232">
        <f t="shared" si="405"/>
        <v>0.83072393690654911</v>
      </c>
      <c r="BO91" s="232">
        <f t="shared" si="405"/>
        <v>0.83519168797231003</v>
      </c>
      <c r="BP91" s="521">
        <f t="shared" si="405"/>
        <v>0.83456089905541908</v>
      </c>
      <c r="BQ91" s="232">
        <f t="shared" si="405"/>
        <v>0.83617158331196573</v>
      </c>
      <c r="BR91" s="232">
        <f t="shared" ref="BR91:CE91" si="406">+BR$16/BR$9</f>
        <v>0.83995075032609623</v>
      </c>
      <c r="BS91" s="232">
        <f t="shared" si="406"/>
        <v>0.85291555314865608</v>
      </c>
      <c r="BT91" s="232">
        <f t="shared" si="406"/>
        <v>0.8502926712383474</v>
      </c>
      <c r="BU91" s="521">
        <f t="shared" si="406"/>
        <v>0.84504838408369143</v>
      </c>
      <c r="BV91" s="232">
        <f t="shared" si="406"/>
        <v>0.84</v>
      </c>
      <c r="BW91" s="232">
        <f t="shared" si="406"/>
        <v>0.84</v>
      </c>
      <c r="BX91" s="232">
        <f t="shared" si="406"/>
        <v>0.84299999999999997</v>
      </c>
      <c r="BY91" s="232">
        <f t="shared" si="406"/>
        <v>0.84499999999999997</v>
      </c>
      <c r="BZ91" s="521">
        <f t="shared" si="406"/>
        <v>0.84206093290141781</v>
      </c>
      <c r="CA91" s="232">
        <f t="shared" si="406"/>
        <v>0.84199999999999997</v>
      </c>
      <c r="CB91" s="232">
        <f t="shared" si="406"/>
        <v>0.84399999999999986</v>
      </c>
      <c r="CC91" s="232">
        <f t="shared" si="406"/>
        <v>0.84499999999999997</v>
      </c>
      <c r="CD91" s="232">
        <f t="shared" si="406"/>
        <v>0.85</v>
      </c>
      <c r="CE91" s="521">
        <f t="shared" si="406"/>
        <v>0.84531497599305894</v>
      </c>
    </row>
    <row r="92" spans="2:83" ht="6.75" customHeight="1">
      <c r="B92" s="186"/>
      <c r="C92" s="214"/>
      <c r="D92" s="232"/>
      <c r="E92" s="232"/>
      <c r="F92" s="232"/>
      <c r="G92" s="232"/>
      <c r="H92" s="232"/>
      <c r="I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521"/>
      <c r="X92" s="232"/>
      <c r="Y92" s="232"/>
      <c r="Z92" s="232"/>
      <c r="AA92" s="232"/>
      <c r="AB92" s="521"/>
      <c r="AC92" s="232"/>
      <c r="AD92" s="232"/>
      <c r="AE92" s="232"/>
      <c r="AF92" s="232"/>
      <c r="AG92" s="521"/>
      <c r="AH92" s="232"/>
      <c r="AI92" s="232"/>
      <c r="AJ92" s="232"/>
      <c r="AK92" s="232"/>
      <c r="AL92" s="521"/>
      <c r="AM92" s="232"/>
      <c r="AN92" s="232"/>
      <c r="AO92" s="232"/>
      <c r="AP92" s="232"/>
      <c r="AQ92" s="521"/>
      <c r="AR92" s="232"/>
      <c r="AS92" s="232"/>
      <c r="AT92" s="232"/>
      <c r="AU92" s="232"/>
      <c r="AV92" s="521"/>
      <c r="AW92" s="232"/>
      <c r="AX92" s="232"/>
      <c r="AY92" s="232"/>
      <c r="AZ92" s="232"/>
      <c r="BA92" s="521"/>
      <c r="BB92" s="232"/>
      <c r="BC92" s="232"/>
      <c r="BD92" s="232"/>
      <c r="BE92" s="232"/>
      <c r="BF92" s="521"/>
      <c r="BG92" s="232"/>
      <c r="BH92" s="232"/>
      <c r="BI92" s="232"/>
      <c r="BJ92" s="232"/>
      <c r="BK92" s="521"/>
      <c r="BL92" s="232"/>
      <c r="BM92" s="232"/>
      <c r="BN92" s="232"/>
      <c r="BO92" s="232"/>
      <c r="BP92" s="521"/>
      <c r="BQ92" s="232"/>
      <c r="BR92" s="232"/>
      <c r="BS92" s="232"/>
      <c r="BT92" s="232"/>
      <c r="BU92" s="521"/>
      <c r="BV92" s="232"/>
      <c r="BW92" s="232"/>
      <c r="BX92" s="232"/>
      <c r="BY92" s="232"/>
      <c r="BZ92" s="521"/>
      <c r="CA92" s="232"/>
      <c r="CB92" s="232"/>
      <c r="CC92" s="232"/>
      <c r="CD92" s="232"/>
      <c r="CE92" s="521"/>
    </row>
    <row r="93" spans="2:83" ht="12.6" customHeight="1">
      <c r="B93" s="186"/>
      <c r="C93" s="214"/>
      <c r="D93" s="232"/>
      <c r="E93" s="232"/>
      <c r="F93" s="232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521"/>
      <c r="X93" s="232"/>
      <c r="Y93" s="232"/>
      <c r="Z93" s="232"/>
      <c r="AA93" s="232"/>
      <c r="AB93" s="521"/>
      <c r="AC93" s="232"/>
      <c r="AD93" s="232"/>
      <c r="AE93" s="232"/>
      <c r="AF93" s="232"/>
      <c r="AG93" s="521"/>
      <c r="AH93" s="232"/>
      <c r="AI93" s="232"/>
      <c r="AJ93" s="232"/>
      <c r="AK93" s="232"/>
      <c r="AL93" s="521"/>
      <c r="AM93" s="232"/>
      <c r="AN93" s="232"/>
      <c r="AO93" s="232"/>
      <c r="AP93" s="232"/>
      <c r="AQ93" s="521"/>
      <c r="AR93" s="232"/>
      <c r="AS93" s="232"/>
      <c r="AT93" s="232"/>
      <c r="AU93" s="232"/>
      <c r="AV93" s="521"/>
      <c r="AW93" s="232"/>
      <c r="AX93" s="232"/>
      <c r="AY93" s="232"/>
      <c r="AZ93" s="232"/>
      <c r="BA93" s="521"/>
      <c r="BB93" s="232"/>
      <c r="BC93" s="232"/>
      <c r="BD93" s="232"/>
      <c r="BE93" s="232"/>
      <c r="BF93" s="521"/>
      <c r="BG93" s="232"/>
      <c r="BH93" s="232"/>
      <c r="BI93" s="232"/>
      <c r="BJ93" s="232"/>
      <c r="BK93" s="521"/>
      <c r="BL93" s="232"/>
      <c r="BM93" s="232"/>
      <c r="BN93" s="232"/>
      <c r="BO93" s="232"/>
      <c r="BP93" s="521"/>
      <c r="BQ93" s="232"/>
      <c r="BR93" s="232"/>
      <c r="BS93" s="232"/>
      <c r="BT93" s="232"/>
      <c r="BU93" s="521"/>
      <c r="BV93" s="232"/>
      <c r="BW93" s="232"/>
      <c r="BX93" s="232"/>
      <c r="BY93" s="232"/>
      <c r="BZ93" s="521"/>
      <c r="CA93" s="232"/>
      <c r="CB93" s="232"/>
      <c r="CC93" s="232"/>
      <c r="CD93" s="232"/>
      <c r="CE93" s="521"/>
    </row>
    <row r="94" spans="2:83" ht="5.25" hidden="1" customHeight="1">
      <c r="B94" s="186"/>
      <c r="C94" s="215"/>
      <c r="D94" s="232"/>
      <c r="E94" s="232"/>
      <c r="F94" s="232"/>
      <c r="G94" s="232"/>
      <c r="H94" s="232"/>
      <c r="I94" s="232"/>
      <c r="J94" s="232"/>
      <c r="K94" s="232"/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521"/>
      <c r="X94" s="232"/>
      <c r="Y94" s="232"/>
      <c r="Z94" s="232"/>
      <c r="AA94" s="232"/>
      <c r="AB94" s="521"/>
      <c r="AC94" s="232"/>
      <c r="AD94" s="232"/>
      <c r="AE94" s="232"/>
      <c r="AF94" s="232"/>
      <c r="AG94" s="521"/>
      <c r="AH94" s="232"/>
      <c r="AI94" s="232"/>
      <c r="AJ94" s="232"/>
      <c r="AK94" s="232"/>
      <c r="AL94" s="521"/>
      <c r="AM94" s="232"/>
      <c r="AN94" s="232"/>
      <c r="AO94" s="232"/>
      <c r="AP94" s="232"/>
      <c r="AQ94" s="521"/>
      <c r="AR94" s="232"/>
      <c r="AS94" s="232"/>
      <c r="AT94" s="232"/>
      <c r="AU94" s="232"/>
      <c r="AV94" s="521"/>
      <c r="AW94" s="232"/>
      <c r="AX94" s="232"/>
      <c r="AY94" s="232"/>
      <c r="AZ94" s="232"/>
      <c r="BA94" s="521"/>
      <c r="BB94" s="232"/>
      <c r="BC94" s="232"/>
      <c r="BD94" s="232"/>
      <c r="BE94" s="232"/>
      <c r="BF94" s="521"/>
      <c r="BG94" s="232"/>
      <c r="BH94" s="232"/>
      <c r="BI94" s="232"/>
      <c r="BJ94" s="232"/>
      <c r="BK94" s="521"/>
      <c r="BL94" s="232"/>
      <c r="BM94" s="232"/>
      <c r="BN94" s="232"/>
      <c r="BO94" s="232"/>
      <c r="BP94" s="521"/>
      <c r="BQ94" s="232"/>
      <c r="BR94" s="232"/>
      <c r="BS94" s="232"/>
      <c r="BT94" s="232"/>
      <c r="BU94" s="521"/>
      <c r="BV94" s="232"/>
      <c r="BW94" s="232"/>
      <c r="BX94" s="232"/>
      <c r="BY94" s="232"/>
      <c r="BZ94" s="521"/>
      <c r="CA94" s="232"/>
      <c r="CB94" s="232"/>
      <c r="CC94" s="232"/>
      <c r="CD94" s="232"/>
      <c r="CE94" s="521"/>
    </row>
    <row r="95" spans="2:83" ht="12.6" customHeight="1">
      <c r="B95" s="212" t="s">
        <v>5</v>
      </c>
      <c r="C95" s="20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523"/>
      <c r="X95" s="216"/>
      <c r="Y95" s="216"/>
      <c r="Z95" s="216"/>
      <c r="AA95" s="216"/>
      <c r="AB95" s="523"/>
      <c r="AC95" s="216"/>
      <c r="AD95" s="216"/>
      <c r="AE95" s="216"/>
      <c r="AF95" s="216"/>
      <c r="AG95" s="523"/>
      <c r="AH95" s="216"/>
      <c r="AI95" s="216"/>
      <c r="AJ95" s="216"/>
      <c r="AK95" s="216"/>
      <c r="AL95" s="523"/>
      <c r="AM95" s="216"/>
      <c r="AN95" s="216"/>
      <c r="AO95" s="216"/>
      <c r="AP95" s="216"/>
      <c r="AQ95" s="523"/>
      <c r="AR95" s="216"/>
      <c r="AS95" s="216"/>
      <c r="AT95" s="216"/>
      <c r="AU95" s="216"/>
      <c r="AV95" s="523"/>
      <c r="AW95" s="216"/>
      <c r="AX95" s="216"/>
      <c r="AY95" s="216"/>
      <c r="AZ95" s="216"/>
      <c r="BA95" s="523"/>
      <c r="BB95" s="216"/>
      <c r="BC95" s="216"/>
      <c r="BD95" s="216"/>
      <c r="BE95" s="216"/>
      <c r="BF95" s="523"/>
      <c r="BG95" s="216"/>
      <c r="BH95" s="216"/>
      <c r="BI95" s="216"/>
      <c r="BJ95" s="216"/>
      <c r="BK95" s="523"/>
      <c r="BL95" s="216"/>
      <c r="BM95" s="216"/>
      <c r="BN95" s="216"/>
      <c r="BO95" s="216"/>
      <c r="BP95" s="523"/>
      <c r="BQ95" s="216"/>
      <c r="BR95" s="216"/>
      <c r="BS95" s="216"/>
      <c r="BT95" s="216"/>
      <c r="BU95" s="523"/>
      <c r="BV95" s="216"/>
      <c r="BW95" s="216"/>
      <c r="BX95" s="216"/>
      <c r="BY95" s="216"/>
      <c r="BZ95" s="523"/>
      <c r="CA95" s="216"/>
      <c r="CB95" s="216"/>
      <c r="CC95" s="216"/>
      <c r="CD95" s="216"/>
      <c r="CE95" s="523"/>
    </row>
    <row r="96" spans="2:83" ht="12.6" customHeight="1">
      <c r="B96" s="186" t="s">
        <v>16</v>
      </c>
      <c r="C96" s="206"/>
      <c r="D96" s="232">
        <f t="shared" ref="D96:AI96" si="407">+D$21/D$9</f>
        <v>0.23373130102401962</v>
      </c>
      <c r="E96" s="232">
        <f t="shared" si="407"/>
        <v>0.22438035150968905</v>
      </c>
      <c r="F96" s="232">
        <f t="shared" si="407"/>
        <v>0.20994782311179541</v>
      </c>
      <c r="G96" s="232">
        <f t="shared" si="407"/>
        <v>0.18988522529099242</v>
      </c>
      <c r="H96" s="232">
        <f t="shared" si="407"/>
        <v>0.21355283307810108</v>
      </c>
      <c r="I96" s="232">
        <f t="shared" si="407"/>
        <v>0.20451714021621184</v>
      </c>
      <c r="J96" s="232">
        <f t="shared" si="407"/>
        <v>0.19227111939446961</v>
      </c>
      <c r="K96" s="232">
        <f t="shared" si="407"/>
        <v>0.17651086525640564</v>
      </c>
      <c r="L96" s="232">
        <f t="shared" si="407"/>
        <v>0.19246530527910738</v>
      </c>
      <c r="M96" s="232">
        <f t="shared" si="407"/>
        <v>0.19109501491265443</v>
      </c>
      <c r="N96" s="232">
        <f t="shared" si="407"/>
        <v>0.1966332850177889</v>
      </c>
      <c r="O96" s="232">
        <f t="shared" si="407"/>
        <v>0.18246548201349758</v>
      </c>
      <c r="P96" s="232">
        <f t="shared" si="407"/>
        <v>0.17150925818097124</v>
      </c>
      <c r="Q96" s="232">
        <f t="shared" si="407"/>
        <v>0.16668033795422854</v>
      </c>
      <c r="R96" s="232">
        <f t="shared" si="407"/>
        <v>0.17854602894167496</v>
      </c>
      <c r="S96" s="232">
        <f t="shared" si="407"/>
        <v>0.15997652895207104</v>
      </c>
      <c r="T96" s="232">
        <f t="shared" si="407"/>
        <v>0.15214283923063421</v>
      </c>
      <c r="U96" s="232">
        <f t="shared" si="407"/>
        <v>0.14763710000235467</v>
      </c>
      <c r="V96" s="232">
        <f t="shared" si="407"/>
        <v>0.13904826189672628</v>
      </c>
      <c r="W96" s="521">
        <f t="shared" si="407"/>
        <v>0.14922329624309122</v>
      </c>
      <c r="X96" s="232">
        <f t="shared" si="407"/>
        <v>0.14138989794153262</v>
      </c>
      <c r="Y96" s="232">
        <f t="shared" si="407"/>
        <v>0.15784261131514876</v>
      </c>
      <c r="Z96" s="232">
        <f t="shared" si="407"/>
        <v>0.15337242826602857</v>
      </c>
      <c r="AA96" s="232">
        <f t="shared" si="407"/>
        <v>0.14514399509803921</v>
      </c>
      <c r="AB96" s="521">
        <f t="shared" si="407"/>
        <v>0.14949602122015915</v>
      </c>
      <c r="AC96" s="232">
        <f t="shared" si="407"/>
        <v>0.16193219254155608</v>
      </c>
      <c r="AD96" s="232">
        <f t="shared" si="407"/>
        <v>0.16310440852048749</v>
      </c>
      <c r="AE96" s="232">
        <f t="shared" si="407"/>
        <v>0.15782484451168263</v>
      </c>
      <c r="AF96" s="232">
        <f t="shared" si="407"/>
        <v>0.15651275530477629</v>
      </c>
      <c r="AG96" s="521">
        <f t="shared" si="407"/>
        <v>0.15967733550522467</v>
      </c>
      <c r="AH96" s="232">
        <f t="shared" si="407"/>
        <v>0.16444711612565122</v>
      </c>
      <c r="AI96" s="232">
        <f t="shared" si="407"/>
        <v>0.16300089504497234</v>
      </c>
      <c r="AJ96" s="232">
        <f t="shared" ref="AJ96:CE96" si="408">+AJ$21/AJ$9</f>
        <v>0.14689218231041892</v>
      </c>
      <c r="AK96" s="232">
        <f t="shared" si="408"/>
        <v>0.15824797843665769</v>
      </c>
      <c r="AL96" s="521">
        <f t="shared" si="408"/>
        <v>0.15793380161999934</v>
      </c>
      <c r="AM96" s="232">
        <f t="shared" si="408"/>
        <v>0.17623402306783642</v>
      </c>
      <c r="AN96" s="232">
        <f t="shared" si="408"/>
        <v>0.17628501564697385</v>
      </c>
      <c r="AO96" s="232">
        <f t="shared" si="408"/>
        <v>0.16986609572885292</v>
      </c>
      <c r="AP96" s="232">
        <f t="shared" si="408"/>
        <v>0.17134791646981007</v>
      </c>
      <c r="AQ96" s="521">
        <f t="shared" si="408"/>
        <v>0.17332334184268378</v>
      </c>
      <c r="AR96" s="232">
        <f t="shared" si="408"/>
        <v>0.1683340482014305</v>
      </c>
      <c r="AS96" s="232">
        <f t="shared" si="408"/>
        <v>0.16638523021501744</v>
      </c>
      <c r="AT96" s="232">
        <f t="shared" si="408"/>
        <v>0.1573241358561927</v>
      </c>
      <c r="AU96" s="232">
        <f t="shared" si="408"/>
        <v>0.15825782428455396</v>
      </c>
      <c r="AV96" s="521">
        <f t="shared" si="408"/>
        <v>0.16240222832630324</v>
      </c>
      <c r="AW96" s="232">
        <f t="shared" si="408"/>
        <v>0.16028980114928273</v>
      </c>
      <c r="AX96" s="232">
        <f t="shared" si="408"/>
        <v>0.17249403221600368</v>
      </c>
      <c r="AY96" s="232">
        <f t="shared" si="408"/>
        <v>0.17694932052528256</v>
      </c>
      <c r="AZ96" s="232">
        <f t="shared" si="408"/>
        <v>0.17383858626343596</v>
      </c>
      <c r="BA96" s="521">
        <f t="shared" si="408"/>
        <v>0.17111816952516221</v>
      </c>
      <c r="BB96" s="232">
        <f t="shared" si="408"/>
        <v>0.17399929465702699</v>
      </c>
      <c r="BC96" s="232">
        <f t="shared" si="408"/>
        <v>0.1772413735580893</v>
      </c>
      <c r="BD96" s="232">
        <f t="shared" si="408"/>
        <v>0.17646402943589171</v>
      </c>
      <c r="BE96" s="232">
        <f t="shared" si="408"/>
        <v>0.17733417909193039</v>
      </c>
      <c r="BF96" s="521">
        <f t="shared" si="408"/>
        <v>0.17631599904435774</v>
      </c>
      <c r="BG96" s="232">
        <f t="shared" si="408"/>
        <v>0.17454450846705385</v>
      </c>
      <c r="BH96" s="232">
        <f t="shared" si="408"/>
        <v>0.16249662922986102</v>
      </c>
      <c r="BI96" s="232">
        <f t="shared" si="408"/>
        <v>0.15553959266458209</v>
      </c>
      <c r="BJ96" s="232">
        <f t="shared" si="408"/>
        <v>0.15279103548454037</v>
      </c>
      <c r="BK96" s="521">
        <f t="shared" si="408"/>
        <v>0.16102391885408815</v>
      </c>
      <c r="BL96" s="232">
        <f t="shared" si="408"/>
        <v>0.15227186996330716</v>
      </c>
      <c r="BM96" s="232">
        <f t="shared" si="408"/>
        <v>0.14749710842725341</v>
      </c>
      <c r="BN96" s="232">
        <f t="shared" si="408"/>
        <v>0.15231986065888073</v>
      </c>
      <c r="BO96" s="232">
        <f t="shared" si="408"/>
        <v>0.14463757373218336</v>
      </c>
      <c r="BP96" s="521">
        <f t="shared" si="408"/>
        <v>0.14911508284628464</v>
      </c>
      <c r="BQ96" s="232">
        <f t="shared" si="408"/>
        <v>0.15040744469946654</v>
      </c>
      <c r="BR96" s="232">
        <f t="shared" si="408"/>
        <v>0.15412466018944057</v>
      </c>
      <c r="BS96" s="232">
        <f t="shared" si="408"/>
        <v>0.13962632886356413</v>
      </c>
      <c r="BT96" s="232">
        <f t="shared" si="408"/>
        <v>0.1378749671957189</v>
      </c>
      <c r="BU96" s="521">
        <f t="shared" si="408"/>
        <v>0.14529871100317579</v>
      </c>
      <c r="BV96" s="232">
        <f t="shared" si="408"/>
        <v>0.14487071230995671</v>
      </c>
      <c r="BW96" s="232">
        <f t="shared" si="408"/>
        <v>0.15177774707574418</v>
      </c>
      <c r="BX96" s="232">
        <f t="shared" si="408"/>
        <v>0.15609532447556623</v>
      </c>
      <c r="BY96" s="232">
        <f t="shared" si="408"/>
        <v>0.15959303202838857</v>
      </c>
      <c r="BZ96" s="521">
        <f t="shared" si="408"/>
        <v>0.15324261803463987</v>
      </c>
      <c r="CA96" s="232">
        <f t="shared" si="408"/>
        <v>0.15495568573809171</v>
      </c>
      <c r="CB96" s="232">
        <f t="shared" si="408"/>
        <v>0.15314090983219081</v>
      </c>
      <c r="CC96" s="232">
        <f t="shared" si="408"/>
        <v>0.14848420480998167</v>
      </c>
      <c r="CD96" s="232">
        <f t="shared" si="408"/>
        <v>0.14602807598436804</v>
      </c>
      <c r="CE96" s="521">
        <f t="shared" si="408"/>
        <v>0.1505731682219455</v>
      </c>
    </row>
    <row r="97" spans="2:83" ht="12.6" customHeight="1">
      <c r="B97" s="186"/>
      <c r="C97" s="206"/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521"/>
      <c r="X97" s="232"/>
      <c r="Y97" s="232"/>
      <c r="Z97" s="232"/>
      <c r="AA97" s="232"/>
      <c r="AB97" s="521"/>
      <c r="AC97" s="232"/>
      <c r="AD97" s="232"/>
      <c r="AE97" s="232"/>
      <c r="AF97" s="232"/>
      <c r="AG97" s="521"/>
      <c r="AH97" s="232"/>
      <c r="AI97" s="232"/>
      <c r="AJ97" s="232"/>
      <c r="AK97" s="232"/>
      <c r="AL97" s="521"/>
      <c r="AM97" s="232"/>
      <c r="AN97" s="232"/>
      <c r="AO97" s="232"/>
      <c r="AP97" s="232"/>
      <c r="AQ97" s="521"/>
      <c r="AR97" s="232"/>
      <c r="AS97" s="232"/>
      <c r="AT97" s="232"/>
      <c r="AU97" s="232"/>
      <c r="AV97" s="521"/>
      <c r="AW97" s="232"/>
      <c r="AX97" s="232"/>
      <c r="AY97" s="232"/>
      <c r="AZ97" s="232"/>
      <c r="BA97" s="521"/>
      <c r="BB97" s="232"/>
      <c r="BC97" s="232"/>
      <c r="BD97" s="232"/>
      <c r="BE97" s="232"/>
      <c r="BF97" s="521"/>
      <c r="BG97" s="232"/>
      <c r="BH97" s="232"/>
      <c r="BI97" s="232"/>
      <c r="BJ97" s="232"/>
      <c r="BK97" s="521"/>
      <c r="BL97" s="232"/>
      <c r="BM97" s="232"/>
      <c r="BN97" s="232"/>
      <c r="BO97" s="232"/>
      <c r="BP97" s="521"/>
      <c r="BQ97" s="232"/>
      <c r="BR97" s="232"/>
      <c r="BS97" s="232"/>
      <c r="BT97" s="232"/>
      <c r="BU97" s="521"/>
      <c r="BV97" s="232"/>
      <c r="BW97" s="232"/>
      <c r="BX97" s="232"/>
      <c r="BY97" s="232"/>
      <c r="BZ97" s="521"/>
      <c r="CA97" s="232"/>
      <c r="CB97" s="232"/>
      <c r="CC97" s="232"/>
      <c r="CD97" s="232"/>
      <c r="CE97" s="521"/>
    </row>
    <row r="98" spans="2:83" ht="6.95" customHeight="1">
      <c r="B98" s="186"/>
      <c r="C98" s="218"/>
      <c r="D98" s="232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232"/>
      <c r="W98" s="521"/>
      <c r="X98" s="232"/>
      <c r="Y98" s="232"/>
      <c r="Z98" s="232"/>
      <c r="AA98" s="232"/>
      <c r="AB98" s="521"/>
      <c r="AC98" s="232"/>
      <c r="AD98" s="232"/>
      <c r="AE98" s="232"/>
      <c r="AF98" s="232"/>
      <c r="AG98" s="521"/>
      <c r="AH98" s="232"/>
      <c r="AI98" s="232"/>
      <c r="AJ98" s="232"/>
      <c r="AK98" s="232"/>
      <c r="AL98" s="521"/>
      <c r="AM98" s="232"/>
      <c r="AN98" s="232"/>
      <c r="AO98" s="232"/>
      <c r="AP98" s="232"/>
      <c r="AQ98" s="521"/>
      <c r="AR98" s="232"/>
      <c r="AS98" s="232"/>
      <c r="AT98" s="232"/>
      <c r="AU98" s="232"/>
      <c r="AV98" s="521"/>
      <c r="AW98" s="232"/>
      <c r="AX98" s="232"/>
      <c r="AY98" s="232"/>
      <c r="AZ98" s="232"/>
      <c r="BA98" s="521"/>
      <c r="BB98" s="232"/>
      <c r="BC98" s="232"/>
      <c r="BD98" s="232"/>
      <c r="BE98" s="232"/>
      <c r="BF98" s="521"/>
      <c r="BG98" s="232"/>
      <c r="BH98" s="232"/>
      <c r="BI98" s="232"/>
      <c r="BJ98" s="232"/>
      <c r="BK98" s="521"/>
      <c r="BL98" s="232"/>
      <c r="BM98" s="232"/>
      <c r="BN98" s="232"/>
      <c r="BO98" s="232"/>
      <c r="BP98" s="521"/>
      <c r="BQ98" s="232"/>
      <c r="BR98" s="232"/>
      <c r="BS98" s="232"/>
      <c r="BT98" s="232"/>
      <c r="BU98" s="521"/>
      <c r="BV98" s="232"/>
      <c r="BW98" s="232"/>
      <c r="BX98" s="232"/>
      <c r="BY98" s="232"/>
      <c r="BZ98" s="521"/>
      <c r="CA98" s="232"/>
      <c r="CB98" s="232"/>
      <c r="CC98" s="232"/>
      <c r="CD98" s="232"/>
      <c r="CE98" s="521"/>
    </row>
    <row r="99" spans="2:83" ht="12.6" customHeight="1">
      <c r="B99" s="186" t="s">
        <v>118</v>
      </c>
      <c r="C99" s="218"/>
      <c r="D99" s="232">
        <f t="shared" ref="D99:AI99" si="409">+D$26/D$9</f>
        <v>0.42692652541173137</v>
      </c>
      <c r="E99" s="232">
        <f t="shared" si="409"/>
        <v>0.42703920684993241</v>
      </c>
      <c r="F99" s="232">
        <f t="shared" si="409"/>
        <v>0.361303566846292</v>
      </c>
      <c r="G99" s="232">
        <f t="shared" si="409"/>
        <v>0.39311351745954481</v>
      </c>
      <c r="H99" s="232">
        <f t="shared" si="409"/>
        <v>0.4010500984467294</v>
      </c>
      <c r="I99" s="232">
        <f t="shared" si="409"/>
        <v>0.39725917292930918</v>
      </c>
      <c r="J99" s="232">
        <f t="shared" si="409"/>
        <v>0.38043436917576356</v>
      </c>
      <c r="K99" s="232">
        <f t="shared" si="409"/>
        <v>0.36210313885185053</v>
      </c>
      <c r="L99" s="232">
        <f t="shared" si="409"/>
        <v>0.39064706084920275</v>
      </c>
      <c r="M99" s="232">
        <f t="shared" si="409"/>
        <v>0.38234749263629791</v>
      </c>
      <c r="N99" s="232">
        <f t="shared" si="409"/>
        <v>0.3926406641191198</v>
      </c>
      <c r="O99" s="232">
        <f t="shared" si="409"/>
        <v>0.34446783480899018</v>
      </c>
      <c r="P99" s="232">
        <f t="shared" si="409"/>
        <v>0.32645277745429135</v>
      </c>
      <c r="Q99" s="232">
        <f t="shared" si="409"/>
        <v>0.31124053263336343</v>
      </c>
      <c r="R99" s="232">
        <f t="shared" si="409"/>
        <v>0.34168544456838273</v>
      </c>
      <c r="S99" s="232">
        <f t="shared" si="409"/>
        <v>0.28357293361427466</v>
      </c>
      <c r="T99" s="232">
        <f t="shared" si="409"/>
        <v>0.29580961456478672</v>
      </c>
      <c r="U99" s="232">
        <f t="shared" si="409"/>
        <v>0.26529939485271609</v>
      </c>
      <c r="V99" s="232">
        <f t="shared" si="409"/>
        <v>0.27015412307346159</v>
      </c>
      <c r="W99" s="521">
        <f t="shared" si="409"/>
        <v>0.27818898979815443</v>
      </c>
      <c r="X99" s="232">
        <f t="shared" si="409"/>
        <v>0.27426050856253242</v>
      </c>
      <c r="Y99" s="232">
        <f t="shared" si="409"/>
        <v>0.26950852143770893</v>
      </c>
      <c r="Z99" s="232">
        <f t="shared" si="409"/>
        <v>0.26318473336340636</v>
      </c>
      <c r="AA99" s="232">
        <f t="shared" si="409"/>
        <v>0.26683134191176472</v>
      </c>
      <c r="AB99" s="521">
        <f t="shared" si="409"/>
        <v>0.26828344069723381</v>
      </c>
      <c r="AC99" s="232">
        <f t="shared" si="409"/>
        <v>0.28105645601551177</v>
      </c>
      <c r="AD99" s="232">
        <f t="shared" si="409"/>
        <v>0.25774836353115621</v>
      </c>
      <c r="AE99" s="232">
        <f t="shared" si="409"/>
        <v>0.23943519919314171</v>
      </c>
      <c r="AF99" s="232">
        <f t="shared" si="409"/>
        <v>0.24784232694905825</v>
      </c>
      <c r="AG99" s="521">
        <f t="shared" si="409"/>
        <v>0.25569255029719096</v>
      </c>
      <c r="AH99" s="232">
        <f t="shared" si="409"/>
        <v>0.22499152255001695</v>
      </c>
      <c r="AI99" s="232">
        <f t="shared" si="409"/>
        <v>0.23922644637800244</v>
      </c>
      <c r="AJ99" s="232">
        <f t="shared" ref="AJ99:CE99" si="410">+AJ$26/AJ$9</f>
        <v>0.1999218510145413</v>
      </c>
      <c r="AK99" s="232">
        <f t="shared" si="410"/>
        <v>0.24743935309973045</v>
      </c>
      <c r="AL99" s="521">
        <f t="shared" si="410"/>
        <v>0.22800110438203014</v>
      </c>
      <c r="AM99" s="232">
        <f t="shared" si="410"/>
        <v>0.21564047091302443</v>
      </c>
      <c r="AN99" s="232">
        <f t="shared" si="410"/>
        <v>0.20395545363554587</v>
      </c>
      <c r="AO99" s="232">
        <f t="shared" si="410"/>
        <v>0.18809497889223548</v>
      </c>
      <c r="AP99" s="232">
        <f t="shared" si="410"/>
        <v>0.21200274024378721</v>
      </c>
      <c r="AQ99" s="521">
        <f t="shared" si="410"/>
        <v>0.20473434968766227</v>
      </c>
      <c r="AR99" s="232">
        <f t="shared" si="410"/>
        <v>0.19324623535003418</v>
      </c>
      <c r="AS99" s="232">
        <f t="shared" si="410"/>
        <v>0.16064392660137342</v>
      </c>
      <c r="AT99" s="232">
        <f t="shared" si="410"/>
        <v>0.15937637666677412</v>
      </c>
      <c r="AU99" s="232">
        <f t="shared" si="410"/>
        <v>0.173078343055453</v>
      </c>
      <c r="AV99" s="521">
        <f t="shared" si="410"/>
        <v>0.17131498251887933</v>
      </c>
      <c r="AW99" s="232">
        <f t="shared" si="410"/>
        <v>0.16909545661250983</v>
      </c>
      <c r="AX99" s="232">
        <f t="shared" si="410"/>
        <v>0.16733866923431825</v>
      </c>
      <c r="AY99" s="232">
        <f t="shared" si="410"/>
        <v>0.16131091924447749</v>
      </c>
      <c r="AZ99" s="232">
        <f t="shared" si="410"/>
        <v>0.18393149936236108</v>
      </c>
      <c r="BA99" s="521">
        <f t="shared" si="410"/>
        <v>0.17064391544171295</v>
      </c>
      <c r="BB99" s="232">
        <f t="shared" si="410"/>
        <v>0.15968083230470817</v>
      </c>
      <c r="BC99" s="232">
        <f t="shared" si="410"/>
        <v>0.17799204290492357</v>
      </c>
      <c r="BD99" s="232">
        <f t="shared" si="410"/>
        <v>0.17960991072068555</v>
      </c>
      <c r="BE99" s="232">
        <f t="shared" si="410"/>
        <v>0.19331443113818217</v>
      </c>
      <c r="BF99" s="521">
        <f t="shared" si="410"/>
        <v>0.17825995511748477</v>
      </c>
      <c r="BG99" s="232">
        <f t="shared" si="410"/>
        <v>0.17732987458200378</v>
      </c>
      <c r="BH99" s="232">
        <f t="shared" si="410"/>
        <v>0.17013461216100983</v>
      </c>
      <c r="BI99" s="232">
        <f t="shared" si="410"/>
        <v>0.17361052424011944</v>
      </c>
      <c r="BJ99" s="232">
        <f t="shared" si="410"/>
        <v>0.1956630006225358</v>
      </c>
      <c r="BK99" s="521">
        <f t="shared" si="410"/>
        <v>0.17937697715606954</v>
      </c>
      <c r="BL99" s="232">
        <f t="shared" si="410"/>
        <v>0.176050204039642</v>
      </c>
      <c r="BM99" s="232">
        <f t="shared" si="410"/>
        <v>0.19174489603787287</v>
      </c>
      <c r="BN99" s="232">
        <f t="shared" si="410"/>
        <v>0.18871492912710328</v>
      </c>
      <c r="BO99" s="232">
        <f t="shared" si="410"/>
        <v>0.19092159732648203</v>
      </c>
      <c r="BP99" s="521">
        <f t="shared" si="410"/>
        <v>0.1869954293407684</v>
      </c>
      <c r="BQ99" s="232">
        <f t="shared" si="410"/>
        <v>0.18424130232209082</v>
      </c>
      <c r="BR99" s="232">
        <f t="shared" si="410"/>
        <v>0.19947946508027453</v>
      </c>
      <c r="BS99" s="232">
        <f t="shared" si="410"/>
        <v>0.18712989015905157</v>
      </c>
      <c r="BT99" s="232">
        <f t="shared" si="410"/>
        <v>0.20379160438607502</v>
      </c>
      <c r="BU99" s="521">
        <f t="shared" si="410"/>
        <v>0.19383224360171866</v>
      </c>
      <c r="BV99" s="232">
        <f t="shared" si="410"/>
        <v>0.20795506195544</v>
      </c>
      <c r="BW99" s="232">
        <f t="shared" si="410"/>
        <v>0.21379745157318569</v>
      </c>
      <c r="BX99" s="232">
        <f t="shared" si="410"/>
        <v>0.21158195393081325</v>
      </c>
      <c r="BY99" s="232">
        <f t="shared" si="410"/>
        <v>0.22044341638046117</v>
      </c>
      <c r="BZ99" s="521">
        <f t="shared" si="410"/>
        <v>0.21355920928361094</v>
      </c>
      <c r="CA99" s="232">
        <f t="shared" si="410"/>
        <v>0.21183134431028935</v>
      </c>
      <c r="CB99" s="232">
        <f t="shared" si="410"/>
        <v>0.2135374738720727</v>
      </c>
      <c r="CC99" s="232">
        <f t="shared" si="410"/>
        <v>0.21122694336479139</v>
      </c>
      <c r="CD99" s="232">
        <f t="shared" si="410"/>
        <v>0.20978972713019242</v>
      </c>
      <c r="CE99" s="521">
        <f t="shared" si="410"/>
        <v>0.211572138827649</v>
      </c>
    </row>
    <row r="100" spans="2:83" ht="6.95" customHeight="1">
      <c r="B100" s="186"/>
      <c r="C100" s="218"/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521"/>
      <c r="X100" s="232"/>
      <c r="Y100" s="232"/>
      <c r="Z100" s="232"/>
      <c r="AA100" s="232"/>
      <c r="AB100" s="521"/>
      <c r="AC100" s="232"/>
      <c r="AD100" s="232"/>
      <c r="AE100" s="232"/>
      <c r="AF100" s="232"/>
      <c r="AG100" s="521"/>
      <c r="AH100" s="232"/>
      <c r="AI100" s="232"/>
      <c r="AJ100" s="232"/>
      <c r="AK100" s="232"/>
      <c r="AL100" s="521"/>
      <c r="AM100" s="232"/>
      <c r="AN100" s="232"/>
      <c r="AO100" s="232"/>
      <c r="AP100" s="232"/>
      <c r="AQ100" s="521"/>
      <c r="AR100" s="232"/>
      <c r="AS100" s="232"/>
      <c r="AT100" s="232"/>
      <c r="AU100" s="232"/>
      <c r="AV100" s="521"/>
      <c r="AW100" s="232"/>
      <c r="AX100" s="232"/>
      <c r="AY100" s="232"/>
      <c r="AZ100" s="232"/>
      <c r="BA100" s="521"/>
      <c r="BB100" s="232"/>
      <c r="BC100" s="232"/>
      <c r="BD100" s="232"/>
      <c r="BE100" s="232"/>
      <c r="BF100" s="521"/>
      <c r="BG100" s="232"/>
      <c r="BH100" s="232"/>
      <c r="BI100" s="232"/>
      <c r="BJ100" s="232"/>
      <c r="BK100" s="521"/>
      <c r="BL100" s="232"/>
      <c r="BM100" s="232"/>
      <c r="BN100" s="232"/>
      <c r="BO100" s="232"/>
      <c r="BP100" s="521"/>
      <c r="BQ100" s="232"/>
      <c r="BR100" s="232"/>
      <c r="BS100" s="232"/>
      <c r="BT100" s="232"/>
      <c r="BU100" s="521"/>
      <c r="BV100" s="232"/>
      <c r="BW100" s="232"/>
      <c r="BX100" s="232"/>
      <c r="BY100" s="232"/>
      <c r="BZ100" s="521"/>
      <c r="CA100" s="232"/>
      <c r="CB100" s="232"/>
      <c r="CC100" s="232"/>
      <c r="CD100" s="232"/>
      <c r="CE100" s="521"/>
    </row>
    <row r="101" spans="2:83" ht="12.6" customHeight="1">
      <c r="B101" s="186"/>
      <c r="C101" s="218"/>
      <c r="D101" s="232"/>
      <c r="E101" s="232"/>
      <c r="F101" s="232"/>
      <c r="G101" s="232"/>
      <c r="H101" s="232"/>
      <c r="I101" s="232"/>
      <c r="J101" s="232"/>
      <c r="K101" s="232"/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521"/>
      <c r="X101" s="232"/>
      <c r="Y101" s="232"/>
      <c r="Z101" s="232"/>
      <c r="AA101" s="232"/>
      <c r="AB101" s="521"/>
      <c r="AC101" s="232"/>
      <c r="AD101" s="232"/>
      <c r="AE101" s="232"/>
      <c r="AF101" s="232"/>
      <c r="AG101" s="521"/>
      <c r="AH101" s="232"/>
      <c r="AI101" s="232"/>
      <c r="AJ101" s="232"/>
      <c r="AK101" s="232"/>
      <c r="AL101" s="521"/>
      <c r="AM101" s="232"/>
      <c r="AN101" s="232"/>
      <c r="AO101" s="232"/>
      <c r="AP101" s="232"/>
      <c r="AQ101" s="521"/>
      <c r="AR101" s="232"/>
      <c r="AS101" s="232"/>
      <c r="AT101" s="232"/>
      <c r="AU101" s="232"/>
      <c r="AV101" s="521"/>
      <c r="AW101" s="232"/>
      <c r="AX101" s="232"/>
      <c r="AY101" s="232"/>
      <c r="AZ101" s="232"/>
      <c r="BA101" s="521"/>
      <c r="BB101" s="232"/>
      <c r="BC101" s="232"/>
      <c r="BD101" s="232"/>
      <c r="BE101" s="232"/>
      <c r="BF101" s="521"/>
      <c r="BG101" s="232"/>
      <c r="BH101" s="232"/>
      <c r="BI101" s="232"/>
      <c r="BJ101" s="232"/>
      <c r="BK101" s="521"/>
      <c r="BL101" s="232"/>
      <c r="BM101" s="232"/>
      <c r="BN101" s="232"/>
      <c r="BO101" s="232"/>
      <c r="BP101" s="521"/>
      <c r="BQ101" s="232"/>
      <c r="BR101" s="232"/>
      <c r="BS101" s="232"/>
      <c r="BT101" s="232"/>
      <c r="BU101" s="521"/>
      <c r="BV101" s="232"/>
      <c r="BW101" s="232"/>
      <c r="BX101" s="232"/>
      <c r="BY101" s="232"/>
      <c r="BZ101" s="521"/>
      <c r="CA101" s="232"/>
      <c r="CB101" s="232"/>
      <c r="CC101" s="232"/>
      <c r="CD101" s="232"/>
      <c r="CE101" s="521"/>
    </row>
    <row r="102" spans="2:83" ht="12.6" customHeight="1">
      <c r="B102" s="186" t="s">
        <v>119</v>
      </c>
      <c r="C102" s="206"/>
      <c r="D102" s="232">
        <f t="shared" ref="D102:AI102" si="411">+D$31/D$9</f>
        <v>0.11981501580859799</v>
      </c>
      <c r="E102" s="232">
        <f t="shared" si="411"/>
        <v>0.11324921135646687</v>
      </c>
      <c r="F102" s="232">
        <f t="shared" si="411"/>
        <v>0.11594388846120948</v>
      </c>
      <c r="G102" s="232">
        <f t="shared" si="411"/>
        <v>0.11700531289289047</v>
      </c>
      <c r="H102" s="232">
        <f t="shared" si="411"/>
        <v>0.11647341938306716</v>
      </c>
      <c r="I102" s="232">
        <f t="shared" si="411"/>
        <v>0.14190411124060601</v>
      </c>
      <c r="J102" s="232">
        <f t="shared" si="411"/>
        <v>0.12627895477539844</v>
      </c>
      <c r="K102" s="232">
        <f t="shared" si="411"/>
        <v>0.12162600454070417</v>
      </c>
      <c r="L102" s="232">
        <f t="shared" si="411"/>
        <v>0.13027308102896101</v>
      </c>
      <c r="M102" s="232">
        <f t="shared" si="411"/>
        <v>0.12975861877327205</v>
      </c>
      <c r="N102" s="232">
        <f t="shared" si="411"/>
        <v>0.12867307945710899</v>
      </c>
      <c r="O102" s="232">
        <f t="shared" si="411"/>
        <v>0.12364559470001858</v>
      </c>
      <c r="P102" s="232">
        <f t="shared" si="411"/>
        <v>0.11636776522650519</v>
      </c>
      <c r="Q102" s="232">
        <f t="shared" si="411"/>
        <v>0.11451070461816094</v>
      </c>
      <c r="R102" s="232">
        <f t="shared" si="411"/>
        <v>0.12041563419399756</v>
      </c>
      <c r="S102" s="232">
        <f t="shared" si="411"/>
        <v>0.11820873229669539</v>
      </c>
      <c r="T102" s="232">
        <f t="shared" si="411"/>
        <v>0.11302254432379567</v>
      </c>
      <c r="U102" s="232">
        <f t="shared" si="411"/>
        <v>0.12253643834326214</v>
      </c>
      <c r="V102" s="232">
        <f t="shared" si="411"/>
        <v>0.11225109686128926</v>
      </c>
      <c r="W102" s="521">
        <f t="shared" si="411"/>
        <v>0.1164568673760074</v>
      </c>
      <c r="X102" s="232">
        <f t="shared" si="411"/>
        <v>0.12311883757135443</v>
      </c>
      <c r="Y102" s="232">
        <f t="shared" si="411"/>
        <v>0.13071018858581274</v>
      </c>
      <c r="Z102" s="232">
        <f t="shared" si="411"/>
        <v>0.11544119089179594</v>
      </c>
      <c r="AA102" s="232">
        <f t="shared" si="411"/>
        <v>0.10979626225490197</v>
      </c>
      <c r="AB102" s="521">
        <f t="shared" si="411"/>
        <v>0.11948465327775673</v>
      </c>
      <c r="AC102" s="232">
        <f t="shared" si="411"/>
        <v>0.10933529112780256</v>
      </c>
      <c r="AD102" s="232">
        <f t="shared" si="411"/>
        <v>8.9598929514303274E-2</v>
      </c>
      <c r="AE102" s="232">
        <f t="shared" si="411"/>
        <v>8.5207597915616065E-2</v>
      </c>
      <c r="AF102" s="232">
        <f t="shared" si="411"/>
        <v>8.5814193753476917E-2</v>
      </c>
      <c r="AG102" s="521">
        <f t="shared" si="411"/>
        <v>9.197757637721593E-2</v>
      </c>
      <c r="AH102" s="232">
        <f t="shared" si="411"/>
        <v>0.10465797342704769</v>
      </c>
      <c r="AI102" s="232">
        <f t="shared" si="411"/>
        <v>8.1771895587868473E-2</v>
      </c>
      <c r="AJ102" s="232">
        <f t="shared" ref="AJ102:CE102" si="412">+AJ$31/AJ$9</f>
        <v>8.382874208043764E-2</v>
      </c>
      <c r="AK102" s="232">
        <f t="shared" si="412"/>
        <v>7.6671159029649591E-2</v>
      </c>
      <c r="AL102" s="521">
        <f t="shared" si="412"/>
        <v>8.6267296307850072E-2</v>
      </c>
      <c r="AM102" s="232">
        <f t="shared" si="412"/>
        <v>7.8826168323533702E-2</v>
      </c>
      <c r="AN102" s="232">
        <f t="shared" si="412"/>
        <v>8.1186889482953037E-2</v>
      </c>
      <c r="AO102" s="232">
        <f t="shared" si="412"/>
        <v>6.7617423280231279E-2</v>
      </c>
      <c r="AP102" s="232">
        <f t="shared" si="412"/>
        <v>7.4813379948974773E-2</v>
      </c>
      <c r="AQ102" s="521">
        <f t="shared" si="412"/>
        <v>7.5467884716439629E-2</v>
      </c>
      <c r="AR102" s="232">
        <f t="shared" si="412"/>
        <v>7.8109966034104999E-2</v>
      </c>
      <c r="AS102" s="232">
        <f t="shared" si="412"/>
        <v>7.3117190138466737E-2</v>
      </c>
      <c r="AT102" s="232">
        <f t="shared" si="412"/>
        <v>7.4439394427790129E-2</v>
      </c>
      <c r="AU102" s="232">
        <f t="shared" si="412"/>
        <v>8.8912564213457668E-2</v>
      </c>
      <c r="AV102" s="521">
        <f t="shared" si="412"/>
        <v>7.8768359309351096E-2</v>
      </c>
      <c r="AW102" s="232">
        <f t="shared" si="412"/>
        <v>8.8459630410517173E-2</v>
      </c>
      <c r="AX102" s="232">
        <f t="shared" si="412"/>
        <v>7.1904274738721394E-2</v>
      </c>
      <c r="AY102" s="232">
        <f t="shared" si="412"/>
        <v>6.1572035755808413E-2</v>
      </c>
      <c r="AZ102" s="232">
        <f t="shared" si="412"/>
        <v>6.705228639096375E-2</v>
      </c>
      <c r="BA102" s="521">
        <f t="shared" si="412"/>
        <v>7.1867734184234339E-2</v>
      </c>
      <c r="BB102" s="232">
        <f t="shared" si="412"/>
        <v>6.4247928055016751E-2</v>
      </c>
      <c r="BC102" s="232">
        <f t="shared" si="412"/>
        <v>6.3656760611545293E-2</v>
      </c>
      <c r="BD102" s="232">
        <f t="shared" si="412"/>
        <v>7.5835649604574673E-2</v>
      </c>
      <c r="BE102" s="232">
        <f t="shared" si="412"/>
        <v>7.5354034039236059E-2</v>
      </c>
      <c r="BF102" s="521">
        <f t="shared" si="412"/>
        <v>7.0041635781860359E-2</v>
      </c>
      <c r="BG102" s="232">
        <f t="shared" si="412"/>
        <v>6.1989700267058453E-2</v>
      </c>
      <c r="BH102" s="232">
        <f t="shared" si="412"/>
        <v>5.6607073879993294E-2</v>
      </c>
      <c r="BI102" s="232">
        <f t="shared" si="412"/>
        <v>5.8614327164145469E-2</v>
      </c>
      <c r="BJ102" s="232">
        <f t="shared" si="412"/>
        <v>6.2917617763021377E-2</v>
      </c>
      <c r="BK102" s="521">
        <f t="shared" si="412"/>
        <v>6.0035205552088709E-2</v>
      </c>
      <c r="BL102" s="232">
        <f t="shared" si="412"/>
        <v>6.1307911251328832E-2</v>
      </c>
      <c r="BM102" s="232">
        <f t="shared" si="412"/>
        <v>5.7374182962584397E-2</v>
      </c>
      <c r="BN102" s="232">
        <f t="shared" si="412"/>
        <v>6.0669279312653132E-2</v>
      </c>
      <c r="BO102" s="232">
        <f t="shared" si="412"/>
        <v>5.5317197580265216E-2</v>
      </c>
      <c r="BP102" s="521">
        <f t="shared" si="412"/>
        <v>5.861372580323946E-2</v>
      </c>
      <c r="BQ102" s="232">
        <f t="shared" si="412"/>
        <v>5.6147943389264474E-2</v>
      </c>
      <c r="BR102" s="232">
        <f t="shared" si="412"/>
        <v>5.9117894454535483E-2</v>
      </c>
      <c r="BS102" s="232">
        <f t="shared" si="412"/>
        <v>5.5002884355022895E-2</v>
      </c>
      <c r="BT102" s="232">
        <f t="shared" si="412"/>
        <v>5.1494163690510152E-2</v>
      </c>
      <c r="BU102" s="521">
        <f t="shared" si="412"/>
        <v>5.5366336633663367E-2</v>
      </c>
      <c r="BV102" s="232">
        <f t="shared" si="412"/>
        <v>5.4627225371499631E-2</v>
      </c>
      <c r="BW102" s="232">
        <f t="shared" si="412"/>
        <v>5.5627073233831655E-2</v>
      </c>
      <c r="BX102" s="232">
        <f t="shared" si="412"/>
        <v>5.6669768317981609E-2</v>
      </c>
      <c r="BY102" s="232">
        <f t="shared" si="412"/>
        <v>5.7387791038355604E-2</v>
      </c>
      <c r="BZ102" s="521">
        <f t="shared" si="412"/>
        <v>5.6108700253581084E-2</v>
      </c>
      <c r="CA102" s="232">
        <f t="shared" si="412"/>
        <v>5.5720255454266253E-2</v>
      </c>
      <c r="CB102" s="232">
        <f t="shared" si="412"/>
        <v>5.3690991145699758E-2</v>
      </c>
      <c r="CC102" s="232">
        <f t="shared" si="412"/>
        <v>5.3110040782473909E-2</v>
      </c>
      <c r="CD102" s="232">
        <f t="shared" si="412"/>
        <v>5.2231529143729014E-2</v>
      </c>
      <c r="CE102" s="521">
        <f t="shared" si="412"/>
        <v>5.3661893330335796E-2</v>
      </c>
    </row>
    <row r="103" spans="2:83" ht="12.6" customHeight="1">
      <c r="B103" s="186"/>
      <c r="C103" s="206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521"/>
      <c r="X103" s="232"/>
      <c r="Y103" s="232"/>
      <c r="Z103" s="232"/>
      <c r="AA103" s="232"/>
      <c r="AB103" s="521"/>
      <c r="AC103" s="232"/>
      <c r="AD103" s="232"/>
      <c r="AE103" s="232"/>
      <c r="AF103" s="232"/>
      <c r="AG103" s="521"/>
      <c r="AH103" s="232"/>
      <c r="AI103" s="232"/>
      <c r="AJ103" s="232"/>
      <c r="AK103" s="232"/>
      <c r="AL103" s="521"/>
      <c r="AM103" s="232"/>
      <c r="AN103" s="232"/>
      <c r="AO103" s="232"/>
      <c r="AP103" s="232"/>
      <c r="AQ103" s="521"/>
      <c r="AR103" s="232"/>
      <c r="AS103" s="232"/>
      <c r="AT103" s="232"/>
      <c r="AU103" s="232"/>
      <c r="AV103" s="521"/>
      <c r="AW103" s="232"/>
      <c r="AX103" s="232"/>
      <c r="AY103" s="232"/>
      <c r="AZ103" s="232"/>
      <c r="BA103" s="521"/>
      <c r="BB103" s="232"/>
      <c r="BC103" s="232"/>
      <c r="BD103" s="232"/>
      <c r="BE103" s="232"/>
      <c r="BF103" s="521"/>
      <c r="BG103" s="232"/>
      <c r="BH103" s="232"/>
      <c r="BI103" s="232"/>
      <c r="BJ103" s="232"/>
      <c r="BK103" s="521"/>
      <c r="BL103" s="232"/>
      <c r="BM103" s="232"/>
      <c r="BN103" s="232"/>
      <c r="BO103" s="232"/>
      <c r="BP103" s="521"/>
      <c r="BQ103" s="232"/>
      <c r="BR103" s="232"/>
      <c r="BS103" s="232"/>
      <c r="BT103" s="232"/>
      <c r="BU103" s="521"/>
      <c r="BV103" s="232"/>
      <c r="BW103" s="232"/>
      <c r="BX103" s="232"/>
      <c r="BY103" s="232"/>
      <c r="BZ103" s="521"/>
      <c r="CA103" s="232"/>
      <c r="CB103" s="232"/>
      <c r="CC103" s="232"/>
      <c r="CD103" s="232"/>
      <c r="CE103" s="521"/>
    </row>
    <row r="104" spans="2:83" ht="5.25" hidden="1" customHeight="1">
      <c r="B104" s="186"/>
      <c r="C104" s="206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521"/>
      <c r="X104" s="232"/>
      <c r="Y104" s="232"/>
      <c r="Z104" s="232"/>
      <c r="AA104" s="232"/>
      <c r="AB104" s="521"/>
      <c r="AC104" s="232"/>
      <c r="AD104" s="232"/>
      <c r="AE104" s="232"/>
      <c r="AF104" s="232"/>
      <c r="AG104" s="521"/>
      <c r="AH104" s="232"/>
      <c r="AI104" s="232"/>
      <c r="AJ104" s="232"/>
      <c r="AK104" s="232"/>
      <c r="AL104" s="521"/>
      <c r="AM104" s="232"/>
      <c r="AN104" s="232"/>
      <c r="AO104" s="232"/>
      <c r="AP104" s="232"/>
      <c r="AQ104" s="521"/>
      <c r="AR104" s="232"/>
      <c r="AS104" s="232"/>
      <c r="AT104" s="232"/>
      <c r="AU104" s="232"/>
      <c r="AV104" s="521"/>
      <c r="AW104" s="232"/>
      <c r="AX104" s="232"/>
      <c r="AY104" s="232"/>
      <c r="AZ104" s="232"/>
      <c r="BA104" s="521"/>
      <c r="BB104" s="232"/>
      <c r="BC104" s="232"/>
      <c r="BD104" s="232"/>
      <c r="BE104" s="232"/>
      <c r="BF104" s="521"/>
      <c r="BG104" s="232"/>
      <c r="BH104" s="232"/>
      <c r="BI104" s="232"/>
      <c r="BJ104" s="232"/>
      <c r="BK104" s="521"/>
      <c r="BL104" s="232"/>
      <c r="BM104" s="232"/>
      <c r="BN104" s="232"/>
      <c r="BO104" s="232"/>
      <c r="BP104" s="521"/>
      <c r="BQ104" s="232"/>
      <c r="BR104" s="232"/>
      <c r="BS104" s="232"/>
      <c r="BT104" s="232"/>
      <c r="BU104" s="521"/>
      <c r="BV104" s="232"/>
      <c r="BW104" s="232"/>
      <c r="BX104" s="232"/>
      <c r="BY104" s="232"/>
      <c r="BZ104" s="521"/>
      <c r="CA104" s="232"/>
      <c r="CB104" s="232"/>
      <c r="CC104" s="232"/>
      <c r="CD104" s="232"/>
      <c r="CE104" s="521"/>
    </row>
    <row r="105" spans="2:83" ht="3.75" hidden="1" customHeight="1">
      <c r="B105" s="219"/>
      <c r="C105" s="218"/>
      <c r="D105" s="189" t="s">
        <v>0</v>
      </c>
      <c r="E105" s="189" t="s">
        <v>0</v>
      </c>
      <c r="F105" s="189" t="s">
        <v>0</v>
      </c>
      <c r="G105" s="189" t="s">
        <v>0</v>
      </c>
      <c r="H105" s="189" t="s">
        <v>0</v>
      </c>
      <c r="I105" s="189" t="s">
        <v>0</v>
      </c>
      <c r="J105" s="189" t="s">
        <v>0</v>
      </c>
      <c r="K105" s="189" t="s">
        <v>0</v>
      </c>
      <c r="L105" s="189" t="s">
        <v>0</v>
      </c>
      <c r="M105" s="189" t="s">
        <v>0</v>
      </c>
      <c r="N105" s="189" t="s">
        <v>0</v>
      </c>
      <c r="O105" s="189" t="s">
        <v>0</v>
      </c>
      <c r="P105" s="189" t="s">
        <v>0</v>
      </c>
      <c r="Q105" s="189" t="s">
        <v>0</v>
      </c>
      <c r="R105" s="189" t="s">
        <v>0</v>
      </c>
      <c r="S105" s="189" t="s">
        <v>0</v>
      </c>
      <c r="T105" s="189" t="s">
        <v>0</v>
      </c>
      <c r="U105" s="189" t="s">
        <v>0</v>
      </c>
      <c r="V105" s="189" t="s">
        <v>0</v>
      </c>
      <c r="W105" s="522" t="s">
        <v>0</v>
      </c>
      <c r="X105" s="189" t="s">
        <v>0</v>
      </c>
      <c r="Y105" s="189" t="s">
        <v>0</v>
      </c>
      <c r="Z105" s="189" t="s">
        <v>0</v>
      </c>
      <c r="AA105" s="189" t="s">
        <v>0</v>
      </c>
      <c r="AB105" s="522" t="s">
        <v>0</v>
      </c>
      <c r="AC105" s="189" t="s">
        <v>0</v>
      </c>
      <c r="AD105" s="189" t="s">
        <v>0</v>
      </c>
      <c r="AE105" s="189" t="s">
        <v>0</v>
      </c>
      <c r="AF105" s="189" t="s">
        <v>0</v>
      </c>
      <c r="AG105" s="522" t="s">
        <v>0</v>
      </c>
      <c r="AH105" s="189" t="s">
        <v>0</v>
      </c>
      <c r="AI105" s="189" t="s">
        <v>0</v>
      </c>
      <c r="AJ105" s="189" t="s">
        <v>0</v>
      </c>
      <c r="AK105" s="189" t="s">
        <v>0</v>
      </c>
      <c r="AL105" s="522" t="s">
        <v>0</v>
      </c>
      <c r="AM105" s="189" t="s">
        <v>0</v>
      </c>
      <c r="AN105" s="189" t="s">
        <v>0</v>
      </c>
      <c r="AO105" s="189" t="s">
        <v>0</v>
      </c>
      <c r="AP105" s="189" t="s">
        <v>0</v>
      </c>
      <c r="AQ105" s="522" t="s">
        <v>0</v>
      </c>
      <c r="AR105" s="189" t="s">
        <v>0</v>
      </c>
      <c r="AS105" s="189" t="s">
        <v>0</v>
      </c>
      <c r="AT105" s="189" t="s">
        <v>0</v>
      </c>
      <c r="AU105" s="189" t="s">
        <v>0</v>
      </c>
      <c r="AV105" s="522" t="s">
        <v>0</v>
      </c>
      <c r="AW105" s="189" t="s">
        <v>0</v>
      </c>
      <c r="AX105" s="189" t="s">
        <v>0</v>
      </c>
      <c r="AY105" s="189" t="s">
        <v>0</v>
      </c>
      <c r="AZ105" s="189" t="s">
        <v>0</v>
      </c>
      <c r="BA105" s="522" t="s">
        <v>0</v>
      </c>
      <c r="BB105" s="189" t="s">
        <v>0</v>
      </c>
      <c r="BC105" s="189" t="s">
        <v>0</v>
      </c>
      <c r="BD105" s="189" t="s">
        <v>0</v>
      </c>
      <c r="BE105" s="189" t="s">
        <v>0</v>
      </c>
      <c r="BF105" s="522" t="s">
        <v>0</v>
      </c>
      <c r="BG105" s="189" t="s">
        <v>0</v>
      </c>
      <c r="BH105" s="189" t="s">
        <v>0</v>
      </c>
      <c r="BI105" s="189" t="s">
        <v>0</v>
      </c>
      <c r="BJ105" s="189" t="s">
        <v>0</v>
      </c>
      <c r="BK105" s="522" t="s">
        <v>0</v>
      </c>
      <c r="BL105" s="189" t="s">
        <v>0</v>
      </c>
      <c r="BM105" s="189" t="s">
        <v>0</v>
      </c>
      <c r="BN105" s="189" t="s">
        <v>0</v>
      </c>
      <c r="BO105" s="189" t="s">
        <v>0</v>
      </c>
      <c r="BP105" s="522" t="s">
        <v>0</v>
      </c>
      <c r="BQ105" s="189" t="s">
        <v>0</v>
      </c>
      <c r="BR105" s="189" t="s">
        <v>0</v>
      </c>
      <c r="BS105" s="189" t="s">
        <v>0</v>
      </c>
      <c r="BT105" s="189" t="s">
        <v>0</v>
      </c>
      <c r="BU105" s="522" t="s">
        <v>0</v>
      </c>
      <c r="BV105" s="189" t="s">
        <v>0</v>
      </c>
      <c r="BW105" s="189" t="s">
        <v>0</v>
      </c>
      <c r="BX105" s="189" t="s">
        <v>0</v>
      </c>
      <c r="BY105" s="189" t="s">
        <v>0</v>
      </c>
      <c r="BZ105" s="522" t="s">
        <v>0</v>
      </c>
      <c r="CA105" s="189" t="s">
        <v>0</v>
      </c>
      <c r="CB105" s="189" t="s">
        <v>0</v>
      </c>
      <c r="CC105" s="189" t="s">
        <v>0</v>
      </c>
      <c r="CD105" s="189" t="s">
        <v>0</v>
      </c>
      <c r="CE105" s="522" t="s">
        <v>0</v>
      </c>
    </row>
    <row r="106" spans="2:83" ht="13.35" hidden="1" customHeight="1">
      <c r="B106" s="220" t="s">
        <v>8</v>
      </c>
      <c r="C106" s="214"/>
      <c r="D106" s="232">
        <f t="shared" ref="D106:AI106" si="413">+D$37/D$9</f>
        <v>0.78047284224434899</v>
      </c>
      <c r="E106" s="232">
        <f t="shared" si="413"/>
        <v>0.76466876971608833</v>
      </c>
      <c r="F106" s="232">
        <f t="shared" si="413"/>
        <v>0.68719527841929684</v>
      </c>
      <c r="G106" s="232">
        <f t="shared" si="413"/>
        <v>0.70000405564342771</v>
      </c>
      <c r="H106" s="232">
        <f t="shared" si="413"/>
        <v>0.73107635090789758</v>
      </c>
      <c r="I106" s="232">
        <f t="shared" si="413"/>
        <v>0.74368042438612703</v>
      </c>
      <c r="J106" s="232">
        <f t="shared" si="413"/>
        <v>0.69898444334563159</v>
      </c>
      <c r="K106" s="232">
        <f t="shared" si="413"/>
        <v>0.66024000864896037</v>
      </c>
      <c r="L106" s="232">
        <f t="shared" si="413"/>
        <v>0.71338544715727115</v>
      </c>
      <c r="M106" s="232">
        <f t="shared" si="413"/>
        <v>0.70320112632222442</v>
      </c>
      <c r="N106" s="232">
        <f t="shared" si="413"/>
        <v>0.71794702859401771</v>
      </c>
      <c r="O106" s="232">
        <f t="shared" si="413"/>
        <v>0.65057891152250635</v>
      </c>
      <c r="P106" s="232">
        <f t="shared" si="413"/>
        <v>0.61432980086176781</v>
      </c>
      <c r="Q106" s="232">
        <f t="shared" si="413"/>
        <v>0.59243157520575285</v>
      </c>
      <c r="R106" s="232">
        <f t="shared" si="413"/>
        <v>0.64064710770405531</v>
      </c>
      <c r="S106" s="232">
        <f t="shared" si="413"/>
        <v>0.56175819486304113</v>
      </c>
      <c r="T106" s="232">
        <f t="shared" si="413"/>
        <v>0.56097499811921658</v>
      </c>
      <c r="U106" s="232">
        <f t="shared" si="413"/>
        <v>0.53547293319833289</v>
      </c>
      <c r="V106" s="232">
        <f t="shared" si="413"/>
        <v>0.52145348183147711</v>
      </c>
      <c r="W106" s="521">
        <f t="shared" si="413"/>
        <v>0.54386915341725306</v>
      </c>
      <c r="X106" s="232">
        <f t="shared" si="413"/>
        <v>0.53876924407541948</v>
      </c>
      <c r="Y106" s="232">
        <f t="shared" si="413"/>
        <v>0.55806132133867037</v>
      </c>
      <c r="Z106" s="232">
        <f t="shared" si="413"/>
        <v>0.53199835252123095</v>
      </c>
      <c r="AA106" s="232">
        <f t="shared" si="413"/>
        <v>0.52177159926470584</v>
      </c>
      <c r="AB106" s="521">
        <f t="shared" si="413"/>
        <v>0.53726411519514972</v>
      </c>
      <c r="AC106" s="232">
        <f t="shared" si="413"/>
        <v>0.55232393968487037</v>
      </c>
      <c r="AD106" s="232">
        <f t="shared" si="413"/>
        <v>0.51045170156594699</v>
      </c>
      <c r="AE106" s="232">
        <f t="shared" si="413"/>
        <v>0.48246764162044042</v>
      </c>
      <c r="AF106" s="232">
        <f t="shared" si="413"/>
        <v>0.49016927600731147</v>
      </c>
      <c r="AG106" s="521">
        <f t="shared" si="413"/>
        <v>0.50734746217963156</v>
      </c>
      <c r="AH106" s="232">
        <f t="shared" si="413"/>
        <v>0.49409661210271588</v>
      </c>
      <c r="AI106" s="232">
        <f t="shared" si="413"/>
        <v>0.48399923701084324</v>
      </c>
      <c r="AJ106" s="232">
        <f t="shared" ref="AJ106:CE106" si="414">+AJ$37/AJ$9</f>
        <v>0.43064277540539786</v>
      </c>
      <c r="AK106" s="232">
        <f t="shared" si="414"/>
        <v>0.48235849056603775</v>
      </c>
      <c r="AL106" s="521">
        <f t="shared" si="414"/>
        <v>0.47220220230987958</v>
      </c>
      <c r="AM106" s="232">
        <f t="shared" si="414"/>
        <v>0.47070066230439456</v>
      </c>
      <c r="AN106" s="232">
        <f t="shared" si="414"/>
        <v>0.46142735876547275</v>
      </c>
      <c r="AO106" s="232">
        <f t="shared" si="414"/>
        <v>0.42557849790131969</v>
      </c>
      <c r="AP106" s="232">
        <f t="shared" si="414"/>
        <v>0.45816403666257205</v>
      </c>
      <c r="AQ106" s="521">
        <f t="shared" si="414"/>
        <v>0.45352557624678569</v>
      </c>
      <c r="AR106" s="232">
        <f t="shared" si="414"/>
        <v>0.43969024958556974</v>
      </c>
      <c r="AS106" s="232">
        <f t="shared" si="414"/>
        <v>0.40014634695485757</v>
      </c>
      <c r="AT106" s="232">
        <f t="shared" si="414"/>
        <v>0.39113990695075695</v>
      </c>
      <c r="AU106" s="232">
        <f t="shared" si="414"/>
        <v>0.42024873155346465</v>
      </c>
      <c r="AV106" s="521">
        <f t="shared" si="414"/>
        <v>0.41248557015453363</v>
      </c>
      <c r="AW106" s="232">
        <f t="shared" si="414"/>
        <v>0.41784488817230975</v>
      </c>
      <c r="AX106" s="232">
        <f t="shared" si="414"/>
        <v>0.41173697618904337</v>
      </c>
      <c r="AY106" s="232">
        <f t="shared" si="414"/>
        <v>0.39983227552556844</v>
      </c>
      <c r="AZ106" s="232">
        <f t="shared" si="414"/>
        <v>0.42482237201676082</v>
      </c>
      <c r="BA106" s="521">
        <f t="shared" si="414"/>
        <v>0.41362981915110952</v>
      </c>
      <c r="BB106" s="232">
        <f t="shared" si="414"/>
        <v>0.39792805501675188</v>
      </c>
      <c r="BC106" s="232">
        <f t="shared" si="414"/>
        <v>0.41889017707455817</v>
      </c>
      <c r="BD106" s="232">
        <f t="shared" si="414"/>
        <v>0.43190958976115196</v>
      </c>
      <c r="BE106" s="232">
        <f t="shared" si="414"/>
        <v>0.44600264426934866</v>
      </c>
      <c r="BF106" s="521">
        <f t="shared" si="414"/>
        <v>0.42461758994370286</v>
      </c>
      <c r="BG106" s="232">
        <f t="shared" si="414"/>
        <v>0.41386408331611607</v>
      </c>
      <c r="BH106" s="232">
        <f t="shared" si="414"/>
        <v>0.38923831527086417</v>
      </c>
      <c r="BI106" s="232">
        <f t="shared" si="414"/>
        <v>0.38776444406884703</v>
      </c>
      <c r="BJ106" s="232">
        <f t="shared" si="414"/>
        <v>0.41137165387009755</v>
      </c>
      <c r="BK106" s="521">
        <f t="shared" si="414"/>
        <v>0.40043610156224635</v>
      </c>
      <c r="BL106" s="232">
        <f t="shared" si="414"/>
        <v>0.389629985254278</v>
      </c>
      <c r="BM106" s="232">
        <f t="shared" si="414"/>
        <v>0.39661618742771065</v>
      </c>
      <c r="BN106" s="232">
        <f t="shared" si="414"/>
        <v>0.40170406909863715</v>
      </c>
      <c r="BO106" s="232">
        <f t="shared" si="414"/>
        <v>0.3908763686389306</v>
      </c>
      <c r="BP106" s="521">
        <f t="shared" si="414"/>
        <v>0.39472423799029249</v>
      </c>
      <c r="BQ106" s="232">
        <f t="shared" si="414"/>
        <v>0.39079669041082182</v>
      </c>
      <c r="BR106" s="232">
        <f t="shared" si="414"/>
        <v>0.4127220197242506</v>
      </c>
      <c r="BS106" s="232">
        <f t="shared" si="414"/>
        <v>0.38175910337763858</v>
      </c>
      <c r="BT106" s="232">
        <f t="shared" si="414"/>
        <v>0.39316073527230405</v>
      </c>
      <c r="BU106" s="521">
        <f t="shared" si="414"/>
        <v>0.39449729123855781</v>
      </c>
      <c r="BV106" s="232">
        <f t="shared" si="414"/>
        <v>0.40745299963689635</v>
      </c>
      <c r="BW106" s="232">
        <f t="shared" si="414"/>
        <v>0.42120227188276149</v>
      </c>
      <c r="BX106" s="232">
        <f t="shared" si="414"/>
        <v>0.42434704672436113</v>
      </c>
      <c r="BY106" s="232">
        <f t="shared" si="414"/>
        <v>0.43742423944720532</v>
      </c>
      <c r="BZ106" s="521">
        <f t="shared" si="414"/>
        <v>0.4229105275718319</v>
      </c>
      <c r="CA106" s="232">
        <f t="shared" si="414"/>
        <v>0.42250728550264738</v>
      </c>
      <c r="CB106" s="232">
        <f t="shared" si="414"/>
        <v>0.42036937484996328</v>
      </c>
      <c r="CC106" s="232">
        <f t="shared" si="414"/>
        <v>0.41282118895724701</v>
      </c>
      <c r="CD106" s="232">
        <f t="shared" si="414"/>
        <v>0.40804933225828949</v>
      </c>
      <c r="CE106" s="521">
        <f t="shared" si="414"/>
        <v>0.4158072003799303</v>
      </c>
    </row>
    <row r="107" spans="2:83" ht="9.75" hidden="1" customHeight="1">
      <c r="B107" s="220"/>
      <c r="C107" s="214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521"/>
      <c r="X107" s="232"/>
      <c r="Y107" s="232"/>
      <c r="Z107" s="232"/>
      <c r="AA107" s="232"/>
      <c r="AB107" s="521"/>
      <c r="AC107" s="232"/>
      <c r="AD107" s="232"/>
      <c r="AE107" s="232"/>
      <c r="AF107" s="232"/>
      <c r="AG107" s="521"/>
      <c r="AH107" s="232"/>
      <c r="AI107" s="232"/>
      <c r="AJ107" s="232"/>
      <c r="AK107" s="232"/>
      <c r="AL107" s="521"/>
      <c r="AM107" s="232"/>
      <c r="AN107" s="232"/>
      <c r="AO107" s="232"/>
      <c r="AP107" s="232"/>
      <c r="AQ107" s="521"/>
      <c r="AR107" s="232"/>
      <c r="AS107" s="232"/>
      <c r="AT107" s="232"/>
      <c r="AU107" s="232"/>
      <c r="AV107" s="521"/>
      <c r="AW107" s="232"/>
      <c r="AX107" s="232"/>
      <c r="AY107" s="232"/>
      <c r="AZ107" s="232"/>
      <c r="BA107" s="521"/>
      <c r="BB107" s="232"/>
      <c r="BC107" s="232"/>
      <c r="BD107" s="232"/>
      <c r="BE107" s="232"/>
      <c r="BF107" s="521"/>
      <c r="BG107" s="232"/>
      <c r="BH107" s="232"/>
      <c r="BI107" s="232"/>
      <c r="BJ107" s="232"/>
      <c r="BK107" s="521"/>
      <c r="BL107" s="232"/>
      <c r="BM107" s="232"/>
      <c r="BN107" s="232"/>
      <c r="BO107" s="232"/>
      <c r="BP107" s="521"/>
      <c r="BQ107" s="232"/>
      <c r="BR107" s="232"/>
      <c r="BS107" s="232"/>
      <c r="BT107" s="232"/>
      <c r="BU107" s="521"/>
      <c r="BV107" s="232"/>
      <c r="BW107" s="232"/>
      <c r="BX107" s="232"/>
      <c r="BY107" s="232"/>
      <c r="BZ107" s="521"/>
      <c r="CA107" s="232"/>
      <c r="CB107" s="232"/>
      <c r="CC107" s="232"/>
      <c r="CD107" s="232"/>
      <c r="CE107" s="521"/>
    </row>
    <row r="108" spans="2:83" ht="6" hidden="1" customHeight="1">
      <c r="B108" s="186"/>
      <c r="C108" s="206"/>
      <c r="D108" s="189" t="s">
        <v>0</v>
      </c>
      <c r="E108" s="189" t="s">
        <v>0</v>
      </c>
      <c r="F108" s="189" t="s">
        <v>0</v>
      </c>
      <c r="G108" s="189" t="s">
        <v>0</v>
      </c>
      <c r="H108" s="189" t="s">
        <v>0</v>
      </c>
      <c r="I108" s="189" t="s">
        <v>0</v>
      </c>
      <c r="J108" s="189" t="s">
        <v>0</v>
      </c>
      <c r="K108" s="189" t="s">
        <v>0</v>
      </c>
      <c r="L108" s="189" t="s">
        <v>0</v>
      </c>
      <c r="M108" s="189" t="s">
        <v>0</v>
      </c>
      <c r="N108" s="189" t="s">
        <v>0</v>
      </c>
      <c r="O108" s="189" t="s">
        <v>0</v>
      </c>
      <c r="P108" s="189" t="s">
        <v>0</v>
      </c>
      <c r="Q108" s="189" t="s">
        <v>0</v>
      </c>
      <c r="R108" s="189" t="s">
        <v>0</v>
      </c>
      <c r="S108" s="189" t="s">
        <v>0</v>
      </c>
      <c r="T108" s="189" t="s">
        <v>0</v>
      </c>
      <c r="U108" s="189" t="s">
        <v>0</v>
      </c>
      <c r="V108" s="189" t="s">
        <v>0</v>
      </c>
      <c r="W108" s="522" t="s">
        <v>0</v>
      </c>
      <c r="X108" s="189" t="s">
        <v>0</v>
      </c>
      <c r="Y108" s="189" t="s">
        <v>0</v>
      </c>
      <c r="Z108" s="189" t="s">
        <v>0</v>
      </c>
      <c r="AA108" s="189" t="s">
        <v>0</v>
      </c>
      <c r="AB108" s="522" t="s">
        <v>0</v>
      </c>
      <c r="AC108" s="189" t="s">
        <v>0</v>
      </c>
      <c r="AD108" s="189" t="s">
        <v>0</v>
      </c>
      <c r="AE108" s="189" t="s">
        <v>0</v>
      </c>
      <c r="AF108" s="189" t="s">
        <v>0</v>
      </c>
      <c r="AG108" s="522" t="s">
        <v>0</v>
      </c>
      <c r="AH108" s="189" t="s">
        <v>0</v>
      </c>
      <c r="AI108" s="189" t="s">
        <v>0</v>
      </c>
      <c r="AJ108" s="189" t="s">
        <v>0</v>
      </c>
      <c r="AK108" s="189" t="s">
        <v>0</v>
      </c>
      <c r="AL108" s="522" t="s">
        <v>0</v>
      </c>
      <c r="AM108" s="189" t="s">
        <v>0</v>
      </c>
      <c r="AN108" s="189" t="s">
        <v>0</v>
      </c>
      <c r="AO108" s="189" t="s">
        <v>0</v>
      </c>
      <c r="AP108" s="189" t="s">
        <v>0</v>
      </c>
      <c r="AQ108" s="522" t="s">
        <v>0</v>
      </c>
      <c r="AR108" s="189" t="s">
        <v>0</v>
      </c>
      <c r="AS108" s="189" t="s">
        <v>0</v>
      </c>
      <c r="AT108" s="189" t="s">
        <v>0</v>
      </c>
      <c r="AU108" s="189" t="s">
        <v>0</v>
      </c>
      <c r="AV108" s="522" t="s">
        <v>0</v>
      </c>
      <c r="AW108" s="189" t="s">
        <v>0</v>
      </c>
      <c r="AX108" s="189" t="s">
        <v>0</v>
      </c>
      <c r="AY108" s="189" t="s">
        <v>0</v>
      </c>
      <c r="AZ108" s="189" t="s">
        <v>0</v>
      </c>
      <c r="BA108" s="522" t="s">
        <v>0</v>
      </c>
      <c r="BB108" s="189" t="s">
        <v>0</v>
      </c>
      <c r="BC108" s="189" t="s">
        <v>0</v>
      </c>
      <c r="BD108" s="189" t="s">
        <v>0</v>
      </c>
      <c r="BE108" s="189" t="s">
        <v>0</v>
      </c>
      <c r="BF108" s="522" t="s">
        <v>0</v>
      </c>
      <c r="BG108" s="189" t="s">
        <v>0</v>
      </c>
      <c r="BH108" s="189" t="s">
        <v>0</v>
      </c>
      <c r="BI108" s="189" t="s">
        <v>0</v>
      </c>
      <c r="BJ108" s="189" t="s">
        <v>0</v>
      </c>
      <c r="BK108" s="522" t="s">
        <v>0</v>
      </c>
      <c r="BL108" s="189" t="s">
        <v>0</v>
      </c>
      <c r="BM108" s="189" t="s">
        <v>0</v>
      </c>
      <c r="BN108" s="189" t="s">
        <v>0</v>
      </c>
      <c r="BO108" s="189" t="s">
        <v>0</v>
      </c>
      <c r="BP108" s="522" t="s">
        <v>0</v>
      </c>
      <c r="BQ108" s="189" t="s">
        <v>0</v>
      </c>
      <c r="BR108" s="189" t="s">
        <v>0</v>
      </c>
      <c r="BS108" s="189" t="s">
        <v>0</v>
      </c>
      <c r="BT108" s="189" t="s">
        <v>0</v>
      </c>
      <c r="BU108" s="522" t="s">
        <v>0</v>
      </c>
      <c r="BV108" s="189" t="s">
        <v>0</v>
      </c>
      <c r="BW108" s="189" t="s">
        <v>0</v>
      </c>
      <c r="BX108" s="189" t="s">
        <v>0</v>
      </c>
      <c r="BY108" s="189" t="s">
        <v>0</v>
      </c>
      <c r="BZ108" s="522" t="s">
        <v>0</v>
      </c>
      <c r="CA108" s="189" t="s">
        <v>0</v>
      </c>
      <c r="CB108" s="189" t="s">
        <v>0</v>
      </c>
      <c r="CC108" s="189" t="s">
        <v>0</v>
      </c>
      <c r="CD108" s="189" t="s">
        <v>0</v>
      </c>
      <c r="CE108" s="522" t="s">
        <v>0</v>
      </c>
    </row>
    <row r="109" spans="2:83" ht="12.6" customHeight="1">
      <c r="B109" s="220" t="s">
        <v>2</v>
      </c>
      <c r="C109" s="212"/>
      <c r="D109" s="231">
        <f t="shared" ref="D109:AI109" si="415">+D$41/D$9</f>
        <v>2.5765655230994292E-2</v>
      </c>
      <c r="E109" s="231">
        <f t="shared" si="415"/>
        <v>3.0013519603424965E-2</v>
      </c>
      <c r="F109" s="231">
        <f t="shared" si="415"/>
        <v>0.11752630228380806</v>
      </c>
      <c r="G109" s="231">
        <f t="shared" si="415"/>
        <v>0.10126941639291089</v>
      </c>
      <c r="H109" s="231">
        <f t="shared" si="415"/>
        <v>7.0630059068037668E-2</v>
      </c>
      <c r="I109" s="231">
        <f t="shared" si="415"/>
        <v>2.7167142225615882E-2</v>
      </c>
      <c r="J109" s="231">
        <f t="shared" si="415"/>
        <v>7.9913278308166288E-2</v>
      </c>
      <c r="K109" s="231">
        <f t="shared" si="415"/>
        <v>0.11229233485891384</v>
      </c>
      <c r="L109" s="231">
        <f t="shared" si="415"/>
        <v>6.6186852164330831E-2</v>
      </c>
      <c r="M109" s="231">
        <f t="shared" si="415"/>
        <v>7.2386580463496442E-2</v>
      </c>
      <c r="N109" s="231">
        <f t="shared" si="415"/>
        <v>6.143760706285413E-2</v>
      </c>
      <c r="O109" s="231">
        <f t="shared" si="415"/>
        <v>0.13218995727818711</v>
      </c>
      <c r="P109" s="231">
        <f t="shared" si="415"/>
        <v>0.17471177361127285</v>
      </c>
      <c r="Q109" s="231">
        <f t="shared" si="415"/>
        <v>0.20944412544773466</v>
      </c>
      <c r="R109" s="231">
        <f t="shared" si="415"/>
        <v>0.14819694712492232</v>
      </c>
      <c r="S109" s="231">
        <f t="shared" si="415"/>
        <v>0.23457712106259834</v>
      </c>
      <c r="T109" s="231">
        <f t="shared" si="415"/>
        <v>0.24309752488903377</v>
      </c>
      <c r="U109" s="231">
        <f t="shared" si="415"/>
        <v>0.2660528856342273</v>
      </c>
      <c r="V109" s="231">
        <f t="shared" si="415"/>
        <v>0.28151648104398697</v>
      </c>
      <c r="W109" s="520">
        <f t="shared" si="415"/>
        <v>0.25748094762727958</v>
      </c>
      <c r="X109" s="231">
        <f t="shared" si="415"/>
        <v>0.26582771146860407</v>
      </c>
      <c r="Y109" s="231">
        <f t="shared" si="415"/>
        <v>0.24243799777163372</v>
      </c>
      <c r="Z109" s="231">
        <f t="shared" si="415"/>
        <v>0.25673210818443915</v>
      </c>
      <c r="AA109" s="231">
        <f t="shared" si="415"/>
        <v>0.26497395833333331</v>
      </c>
      <c r="AB109" s="520">
        <f t="shared" si="415"/>
        <v>0.25753189339396237</v>
      </c>
      <c r="AC109" s="231">
        <f t="shared" si="415"/>
        <v>0.22567346247246853</v>
      </c>
      <c r="AD109" s="231">
        <f t="shared" si="415"/>
        <v>0.27948356298144733</v>
      </c>
      <c r="AE109" s="231">
        <f t="shared" si="415"/>
        <v>0.31396873424104893</v>
      </c>
      <c r="AF109" s="231">
        <f t="shared" si="415"/>
        <v>0.29619327664308986</v>
      </c>
      <c r="AG109" s="520">
        <f t="shared" si="415"/>
        <v>0.28054222191415251</v>
      </c>
      <c r="AH109" s="231">
        <f t="shared" si="415"/>
        <v>0.28026449643947099</v>
      </c>
      <c r="AI109" s="231">
        <f t="shared" si="415"/>
        <v>0.29884231068331546</v>
      </c>
      <c r="AJ109" s="231">
        <f t="shared" ref="AJ109:CE109" si="416">+AJ$41/AJ$9</f>
        <v>0.35937369170225236</v>
      </c>
      <c r="AK109" s="231">
        <f t="shared" si="416"/>
        <v>0.3076010781671159</v>
      </c>
      <c r="AL109" s="520">
        <f t="shared" si="416"/>
        <v>0.31240385960005596</v>
      </c>
      <c r="AM109" s="231">
        <f t="shared" si="416"/>
        <v>0.32133044874772704</v>
      </c>
      <c r="AN109" s="231">
        <f t="shared" si="416"/>
        <v>0.34235832203626043</v>
      </c>
      <c r="AO109" s="231">
        <f t="shared" si="416"/>
        <v>0.39254393922899206</v>
      </c>
      <c r="AP109" s="231">
        <f t="shared" si="416"/>
        <v>0.36372011716904468</v>
      </c>
      <c r="AQ109" s="520">
        <f t="shared" si="416"/>
        <v>0.35595618254577793</v>
      </c>
      <c r="AR109" s="231">
        <f t="shared" si="416"/>
        <v>0.37035577246328089</v>
      </c>
      <c r="AS109" s="231">
        <f t="shared" si="416"/>
        <v>0.4105820105820106</v>
      </c>
      <c r="AT109" s="231">
        <f t="shared" si="416"/>
        <v>0.41255412650828954</v>
      </c>
      <c r="AU109" s="231">
        <f t="shared" si="416"/>
        <v>0.38144112403877595</v>
      </c>
      <c r="AV109" s="520">
        <f t="shared" si="416"/>
        <v>0.39391618429426689</v>
      </c>
      <c r="AW109" s="231">
        <f t="shared" si="416"/>
        <v>0.38387283475960149</v>
      </c>
      <c r="AX109" s="231">
        <f t="shared" si="416"/>
        <v>0.39679244147559728</v>
      </c>
      <c r="AY109" s="231">
        <f t="shared" si="416"/>
        <v>0.41078201536203707</v>
      </c>
      <c r="AZ109" s="231">
        <f t="shared" si="416"/>
        <v>0.38363089815995627</v>
      </c>
      <c r="BA109" s="520">
        <f t="shared" si="416"/>
        <v>0.39380843053515319</v>
      </c>
      <c r="BB109" s="231">
        <f t="shared" si="416"/>
        <v>0.41426556162934225</v>
      </c>
      <c r="BC109" s="231">
        <f t="shared" si="416"/>
        <v>0.39441001559724087</v>
      </c>
      <c r="BD109" s="231">
        <f t="shared" si="416"/>
        <v>0.38214891566648879</v>
      </c>
      <c r="BE109" s="231">
        <f t="shared" si="416"/>
        <v>0.36213498001513195</v>
      </c>
      <c r="BF109" s="520">
        <f t="shared" si="416"/>
        <v>0.38724135889063815</v>
      </c>
      <c r="BG109" s="231">
        <f t="shared" si="416"/>
        <v>0.39777935921275148</v>
      </c>
      <c r="BH109" s="231">
        <f t="shared" si="416"/>
        <v>0.4344029910574379</v>
      </c>
      <c r="BI109" s="231">
        <f t="shared" si="416"/>
        <v>0.44289275754246599</v>
      </c>
      <c r="BJ109" s="231">
        <f t="shared" si="416"/>
        <v>0.42027391575015566</v>
      </c>
      <c r="BK109" s="520">
        <f t="shared" si="416"/>
        <v>0.4242611703681794</v>
      </c>
      <c r="BL109" s="231">
        <f t="shared" si="416"/>
        <v>0.44281060320290799</v>
      </c>
      <c r="BM109" s="231">
        <f t="shared" si="416"/>
        <v>0.44331844957904082</v>
      </c>
      <c r="BN109" s="231">
        <f t="shared" si="416"/>
        <v>0.42901986780791201</v>
      </c>
      <c r="BO109" s="231">
        <f t="shared" si="416"/>
        <v>0.44431531933337942</v>
      </c>
      <c r="BP109" s="520">
        <f t="shared" si="416"/>
        <v>0.43983666106512653</v>
      </c>
      <c r="BQ109" s="231">
        <f t="shared" si="416"/>
        <v>0.44537489290114385</v>
      </c>
      <c r="BR109" s="231">
        <f t="shared" si="416"/>
        <v>0.42722873060184563</v>
      </c>
      <c r="BS109" s="231">
        <f t="shared" si="416"/>
        <v>0.4711564497710175</v>
      </c>
      <c r="BT109" s="231">
        <f t="shared" si="416"/>
        <v>0.45713193596604329</v>
      </c>
      <c r="BU109" s="520">
        <f t="shared" si="416"/>
        <v>0.45055109284513356</v>
      </c>
      <c r="BV109" s="231">
        <f t="shared" si="416"/>
        <v>0.43254700036310362</v>
      </c>
      <c r="BW109" s="231">
        <f t="shared" si="416"/>
        <v>0.41879772811723853</v>
      </c>
      <c r="BX109" s="231">
        <f t="shared" si="416"/>
        <v>0.41865295327563889</v>
      </c>
      <c r="BY109" s="231">
        <f t="shared" si="416"/>
        <v>0.40757576055279465</v>
      </c>
      <c r="BZ109" s="520">
        <f t="shared" si="416"/>
        <v>0.41915040532958581</v>
      </c>
      <c r="CA109" s="231">
        <f t="shared" si="416"/>
        <v>0.41949271449735265</v>
      </c>
      <c r="CB109" s="231">
        <f t="shared" si="416"/>
        <v>0.42363062515003663</v>
      </c>
      <c r="CC109" s="231">
        <f t="shared" si="416"/>
        <v>0.43217881104275296</v>
      </c>
      <c r="CD109" s="231">
        <f t="shared" si="416"/>
        <v>0.44195066774171049</v>
      </c>
      <c r="CE109" s="520">
        <f t="shared" si="416"/>
        <v>0.42950777561312847</v>
      </c>
    </row>
    <row r="110" spans="2:83" ht="12.6" customHeight="1">
      <c r="B110" s="220"/>
      <c r="C110" s="212"/>
      <c r="D110" s="231"/>
      <c r="E110" s="231"/>
      <c r="F110" s="231"/>
      <c r="G110" s="231"/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  <c r="W110" s="520"/>
      <c r="X110" s="231"/>
      <c r="Y110" s="231"/>
      <c r="Z110" s="231"/>
      <c r="AA110" s="231"/>
      <c r="AB110" s="520"/>
      <c r="AC110" s="231"/>
      <c r="AD110" s="231"/>
      <c r="AE110" s="231"/>
      <c r="AF110" s="231"/>
      <c r="AG110" s="520"/>
      <c r="AH110" s="231"/>
      <c r="AI110" s="231"/>
      <c r="AJ110" s="231"/>
      <c r="AK110" s="231"/>
      <c r="AL110" s="520"/>
      <c r="AM110" s="231"/>
      <c r="AN110" s="231"/>
      <c r="AO110" s="231"/>
      <c r="AP110" s="231"/>
      <c r="AQ110" s="520"/>
      <c r="AR110" s="231"/>
      <c r="AS110" s="231"/>
      <c r="AT110" s="231"/>
      <c r="AU110" s="231"/>
      <c r="AV110" s="520"/>
      <c r="AW110" s="231"/>
      <c r="AX110" s="231"/>
      <c r="AY110" s="231"/>
      <c r="AZ110" s="231"/>
      <c r="BA110" s="520"/>
      <c r="BB110" s="231"/>
      <c r="BC110" s="231"/>
      <c r="BD110" s="231"/>
      <c r="BE110" s="231"/>
      <c r="BF110" s="520"/>
      <c r="BG110" s="231"/>
      <c r="BH110" s="231"/>
      <c r="BI110" s="231"/>
      <c r="BJ110" s="231"/>
      <c r="BK110" s="520"/>
      <c r="BL110" s="231"/>
      <c r="BM110" s="231"/>
      <c r="BN110" s="231"/>
      <c r="BO110" s="231"/>
      <c r="BP110" s="520"/>
      <c r="BQ110" s="231"/>
      <c r="BR110" s="231"/>
      <c r="BS110" s="231"/>
      <c r="BT110" s="231"/>
      <c r="BU110" s="520"/>
      <c r="BV110" s="231"/>
      <c r="BW110" s="231"/>
      <c r="BX110" s="231"/>
      <c r="BY110" s="231"/>
      <c r="BZ110" s="520"/>
      <c r="CA110" s="231"/>
      <c r="CB110" s="231"/>
      <c r="CC110" s="231"/>
      <c r="CD110" s="231"/>
      <c r="CE110" s="520"/>
    </row>
    <row r="111" spans="2:83" ht="6" customHeight="1">
      <c r="B111" s="220"/>
      <c r="C111" s="212"/>
      <c r="D111" s="231"/>
      <c r="E111" s="231"/>
      <c r="F111" s="231"/>
      <c r="G111" s="231"/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520"/>
      <c r="X111" s="231"/>
      <c r="Y111" s="231"/>
      <c r="Z111" s="231"/>
      <c r="AA111" s="231"/>
      <c r="AB111" s="520"/>
      <c r="AC111" s="231"/>
      <c r="AD111" s="231"/>
      <c r="AE111" s="231"/>
      <c r="AF111" s="231"/>
      <c r="AG111" s="520"/>
      <c r="AH111" s="231"/>
      <c r="AI111" s="231"/>
      <c r="AJ111" s="231"/>
      <c r="AK111" s="231"/>
      <c r="AL111" s="520"/>
      <c r="AM111" s="231"/>
      <c r="AN111" s="231"/>
      <c r="AO111" s="231"/>
      <c r="AP111" s="231"/>
      <c r="AQ111" s="520"/>
      <c r="AR111" s="231"/>
      <c r="AS111" s="231"/>
      <c r="AT111" s="231"/>
      <c r="AU111" s="231"/>
      <c r="AV111" s="520"/>
      <c r="AW111" s="231"/>
      <c r="AX111" s="231"/>
      <c r="AY111" s="231"/>
      <c r="AZ111" s="231"/>
      <c r="BA111" s="520"/>
      <c r="BB111" s="231"/>
      <c r="BC111" s="231"/>
      <c r="BD111" s="231"/>
      <c r="BE111" s="231"/>
      <c r="BF111" s="520"/>
      <c r="BG111" s="231"/>
      <c r="BH111" s="231"/>
      <c r="BI111" s="231"/>
      <c r="BJ111" s="231"/>
      <c r="BK111" s="520"/>
      <c r="BL111" s="231"/>
      <c r="BM111" s="231"/>
      <c r="BN111" s="231"/>
      <c r="BO111" s="231"/>
      <c r="BP111" s="520"/>
      <c r="BQ111" s="231"/>
      <c r="BR111" s="231"/>
      <c r="BS111" s="231"/>
      <c r="BT111" s="231"/>
      <c r="BU111" s="520"/>
      <c r="BV111" s="231"/>
      <c r="BW111" s="231"/>
      <c r="BX111" s="231"/>
      <c r="BY111" s="231"/>
      <c r="BZ111" s="520"/>
      <c r="CA111" s="231"/>
      <c r="CB111" s="231"/>
      <c r="CC111" s="231"/>
      <c r="CD111" s="231"/>
      <c r="CE111" s="520"/>
    </row>
    <row r="112" spans="2:83" ht="12.6" customHeight="1">
      <c r="B112" s="186"/>
      <c r="C112" s="214"/>
      <c r="D112" s="231"/>
      <c r="E112" s="231"/>
      <c r="F112" s="231"/>
      <c r="G112" s="231"/>
      <c r="H112" s="231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  <c r="W112" s="520"/>
      <c r="X112" s="231"/>
      <c r="Y112" s="231"/>
      <c r="Z112" s="231"/>
      <c r="AA112" s="231"/>
      <c r="AB112" s="520"/>
      <c r="AC112" s="231"/>
      <c r="AD112" s="231"/>
      <c r="AE112" s="231"/>
      <c r="AF112" s="231"/>
      <c r="AG112" s="520"/>
      <c r="AH112" s="231"/>
      <c r="AI112" s="231"/>
      <c r="AJ112" s="231"/>
      <c r="AK112" s="231"/>
      <c r="AL112" s="520"/>
      <c r="AM112" s="231"/>
      <c r="AN112" s="231"/>
      <c r="AO112" s="231"/>
      <c r="AP112" s="231"/>
      <c r="AQ112" s="520"/>
      <c r="AR112" s="231"/>
      <c r="AS112" s="231"/>
      <c r="AT112" s="231"/>
      <c r="AU112" s="231"/>
      <c r="AV112" s="520"/>
      <c r="AW112" s="231"/>
      <c r="AX112" s="231"/>
      <c r="AY112" s="231"/>
      <c r="AZ112" s="231"/>
      <c r="BA112" s="520"/>
      <c r="BB112" s="231"/>
      <c r="BC112" s="231"/>
      <c r="BD112" s="231"/>
      <c r="BE112" s="231"/>
      <c r="BF112" s="520"/>
      <c r="BG112" s="231"/>
      <c r="BH112" s="231"/>
      <c r="BI112" s="231"/>
      <c r="BJ112" s="231"/>
      <c r="BK112" s="520"/>
      <c r="BL112" s="231"/>
      <c r="BM112" s="231"/>
      <c r="BN112" s="231"/>
      <c r="BO112" s="231"/>
      <c r="BP112" s="520"/>
      <c r="BQ112" s="231"/>
      <c r="BR112" s="231"/>
      <c r="BS112" s="231"/>
      <c r="BT112" s="231"/>
      <c r="BU112" s="520"/>
      <c r="BV112" s="231"/>
      <c r="BW112" s="231"/>
      <c r="BX112" s="231"/>
      <c r="BY112" s="231"/>
      <c r="BZ112" s="520"/>
      <c r="CA112" s="231"/>
      <c r="CB112" s="231"/>
      <c r="CC112" s="231"/>
      <c r="CD112" s="231"/>
      <c r="CE112" s="520"/>
    </row>
    <row r="113" spans="2:83" ht="12.75">
      <c r="B113" s="186" t="s">
        <v>289</v>
      </c>
      <c r="C113" s="214"/>
      <c r="D113" s="232">
        <f t="shared" ref="D113:AI113" si="417">+D$45/D$9</f>
        <v>-3.0673399084517011E-3</v>
      </c>
      <c r="E113" s="232">
        <f t="shared" si="417"/>
        <v>-2.2532672374943668E-3</v>
      </c>
      <c r="F113" s="232">
        <f t="shared" si="417"/>
        <v>-1.625181763749893E-3</v>
      </c>
      <c r="G113" s="232">
        <f t="shared" si="417"/>
        <v>-1.5817009368536319E-3</v>
      </c>
      <c r="H113" s="232">
        <f t="shared" si="417"/>
        <v>-2.1001968934587618E-3</v>
      </c>
      <c r="I113" s="232">
        <f t="shared" si="417"/>
        <v>-7.2338544387734601E-4</v>
      </c>
      <c r="J113" s="232">
        <f t="shared" si="417"/>
        <v>-4.5642995701951236E-4</v>
      </c>
      <c r="K113" s="232">
        <f t="shared" si="417"/>
        <v>-2.5226134275109014E-4</v>
      </c>
      <c r="L113" s="232">
        <f t="shared" si="417"/>
        <v>-2.0661868521643298E-4</v>
      </c>
      <c r="M113" s="232">
        <f t="shared" si="417"/>
        <v>-3.98288286619366E-4</v>
      </c>
      <c r="N113" s="232">
        <f t="shared" si="417"/>
        <v>-1.3176966662274345E-4</v>
      </c>
      <c r="O113" s="232">
        <f t="shared" si="417"/>
        <v>-9.287350628444059E-5</v>
      </c>
      <c r="P113" s="232">
        <f t="shared" si="417"/>
        <v>-5.8227553278211247E-5</v>
      </c>
      <c r="Q113" s="232">
        <f t="shared" si="417"/>
        <v>2.3788040357640883E-3</v>
      </c>
      <c r="R113" s="232">
        <f t="shared" si="417"/>
        <v>5.8392411980925148E-4</v>
      </c>
      <c r="S113" s="232">
        <f t="shared" si="417"/>
        <v>2.6938361827541142E-3</v>
      </c>
      <c r="T113" s="232">
        <f t="shared" si="417"/>
        <v>-1.0030844847907315E-4</v>
      </c>
      <c r="U113" s="232">
        <f t="shared" si="417"/>
        <v>3.6026277991005203E-3</v>
      </c>
      <c r="V113" s="232">
        <f t="shared" si="417"/>
        <v>-4.499943750703116E-5</v>
      </c>
      <c r="W113" s="521">
        <f t="shared" si="417"/>
        <v>1.5095809695405517E-3</v>
      </c>
      <c r="X113" s="232">
        <f t="shared" si="417"/>
        <v>-2.8109323646427953E-4</v>
      </c>
      <c r="Y113" s="232">
        <f t="shared" si="417"/>
        <v>-2.063302108694755E-5</v>
      </c>
      <c r="Z113" s="232">
        <f t="shared" si="417"/>
        <v>-1.7651558240335772E-4</v>
      </c>
      <c r="AA113" s="232">
        <f t="shared" si="417"/>
        <v>-5.744485294117647E-5</v>
      </c>
      <c r="AB113" s="521">
        <f t="shared" si="417"/>
        <v>-1.3136288998357964E-4</v>
      </c>
      <c r="AC113" s="232">
        <f t="shared" si="417"/>
        <v>-3.7649893639050473E-5</v>
      </c>
      <c r="AD113" s="232">
        <f t="shared" si="417"/>
        <v>-1.8082528660807927E-5</v>
      </c>
      <c r="AE113" s="232">
        <f t="shared" si="417"/>
        <v>0</v>
      </c>
      <c r="AF113" s="232">
        <f t="shared" si="417"/>
        <v>0</v>
      </c>
      <c r="AG113" s="521">
        <f t="shared" si="417"/>
        <v>-1.2996690176235118E-5</v>
      </c>
      <c r="AH113" s="232">
        <f t="shared" si="417"/>
        <v>-5.8571472610129778E-4</v>
      </c>
      <c r="AI113" s="232">
        <f t="shared" si="417"/>
        <v>-5.7224186756268979E-4</v>
      </c>
      <c r="AJ113" s="232">
        <f t="shared" ref="AJ113:CE113" si="418">+AJ$45/AJ$9</f>
        <v>-4.8843115911691647E-4</v>
      </c>
      <c r="AK113" s="232">
        <f t="shared" si="418"/>
        <v>-8.0862533692722374E-4</v>
      </c>
      <c r="AL113" s="521">
        <f t="shared" si="418"/>
        <v>-6.1673282201879596E-4</v>
      </c>
      <c r="AM113" s="232">
        <f t="shared" si="418"/>
        <v>-5.5745059262307054E-4</v>
      </c>
      <c r="AN113" s="232">
        <f t="shared" si="418"/>
        <v>-3.5474920498169239E-4</v>
      </c>
      <c r="AO113" s="232">
        <f t="shared" si="418"/>
        <v>-3.3869192340724077E-4</v>
      </c>
      <c r="AP113" s="232">
        <f t="shared" si="418"/>
        <v>-9.4491165076065393E-5</v>
      </c>
      <c r="AQ113" s="521">
        <f t="shared" si="418"/>
        <v>-3.2959481603323312E-4</v>
      </c>
      <c r="AR113" s="232">
        <f t="shared" si="418"/>
        <v>-3.4777366889628232E-5</v>
      </c>
      <c r="AS113" s="232">
        <f t="shared" si="418"/>
        <v>0</v>
      </c>
      <c r="AT113" s="232">
        <f t="shared" si="418"/>
        <v>-1.0744716285766475E-5</v>
      </c>
      <c r="AU113" s="232">
        <f t="shared" si="418"/>
        <v>-5.2742059682914736E-5</v>
      </c>
      <c r="AV113" s="521">
        <f t="shared" si="418"/>
        <v>-2.4795915837151446E-5</v>
      </c>
      <c r="AW113" s="232">
        <f t="shared" si="418"/>
        <v>-4.1341105461160031E-5</v>
      </c>
      <c r="AX113" s="232">
        <f t="shared" si="418"/>
        <v>0</v>
      </c>
      <c r="AY113" s="232">
        <f t="shared" si="418"/>
        <v>0</v>
      </c>
      <c r="AZ113" s="232">
        <f t="shared" si="418"/>
        <v>3.6436509382401163E-5</v>
      </c>
      <c r="BA113" s="521">
        <f t="shared" si="418"/>
        <v>0</v>
      </c>
      <c r="BB113" s="232">
        <f t="shared" si="418"/>
        <v>0</v>
      </c>
      <c r="BC113" s="232">
        <f t="shared" si="418"/>
        <v>0</v>
      </c>
      <c r="BD113" s="232">
        <f t="shared" si="418"/>
        <v>0</v>
      </c>
      <c r="BE113" s="232">
        <f t="shared" si="418"/>
        <v>0</v>
      </c>
      <c r="BF113" s="521">
        <f t="shared" si="418"/>
        <v>0</v>
      </c>
      <c r="BG113" s="232">
        <f t="shared" si="418"/>
        <v>0</v>
      </c>
      <c r="BH113" s="232">
        <f t="shared" si="418"/>
        <v>0</v>
      </c>
      <c r="BI113" s="232">
        <f t="shared" si="418"/>
        <v>0</v>
      </c>
      <c r="BJ113" s="232">
        <f t="shared" si="418"/>
        <v>0</v>
      </c>
      <c r="BK113" s="521">
        <f t="shared" si="418"/>
        <v>0</v>
      </c>
      <c r="BL113" s="232">
        <f t="shared" si="418"/>
        <v>0</v>
      </c>
      <c r="BM113" s="232">
        <f t="shared" si="418"/>
        <v>0</v>
      </c>
      <c r="BN113" s="232">
        <f t="shared" si="418"/>
        <v>0</v>
      </c>
      <c r="BO113" s="232">
        <f t="shared" si="418"/>
        <v>0</v>
      </c>
      <c r="BP113" s="521">
        <f t="shared" si="418"/>
        <v>0</v>
      </c>
      <c r="BQ113" s="232">
        <f t="shared" si="418"/>
        <v>0</v>
      </c>
      <c r="BR113" s="232">
        <f t="shared" si="418"/>
        <v>0</v>
      </c>
      <c r="BS113" s="232">
        <f t="shared" si="418"/>
        <v>0</v>
      </c>
      <c r="BT113" s="232">
        <f t="shared" si="418"/>
        <v>0</v>
      </c>
      <c r="BU113" s="521">
        <f t="shared" si="418"/>
        <v>0</v>
      </c>
      <c r="BV113" s="232">
        <f t="shared" si="418"/>
        <v>0</v>
      </c>
      <c r="BW113" s="232">
        <f t="shared" si="418"/>
        <v>0</v>
      </c>
      <c r="BX113" s="232">
        <f t="shared" si="418"/>
        <v>0</v>
      </c>
      <c r="BY113" s="232">
        <f t="shared" si="418"/>
        <v>0</v>
      </c>
      <c r="BZ113" s="521">
        <f t="shared" si="418"/>
        <v>0</v>
      </c>
      <c r="CA113" s="232">
        <f t="shared" si="418"/>
        <v>0</v>
      </c>
      <c r="CB113" s="232">
        <f t="shared" si="418"/>
        <v>0</v>
      </c>
      <c r="CC113" s="232">
        <f t="shared" si="418"/>
        <v>0</v>
      </c>
      <c r="CD113" s="232">
        <f t="shared" si="418"/>
        <v>0</v>
      </c>
      <c r="CE113" s="521">
        <f t="shared" si="418"/>
        <v>0</v>
      </c>
    </row>
    <row r="114" spans="2:83" ht="12.75">
      <c r="B114" s="186" t="s">
        <v>290</v>
      </c>
      <c r="C114" s="214"/>
      <c r="D114" s="232">
        <f t="shared" ref="D114:AI114" si="419">+D$46/D$9</f>
        <v>0</v>
      </c>
      <c r="E114" s="232">
        <f t="shared" si="419"/>
        <v>4.5065344749887339E-5</v>
      </c>
      <c r="F114" s="232">
        <f t="shared" si="419"/>
        <v>4.2767941151312976E-5</v>
      </c>
      <c r="G114" s="232">
        <f t="shared" si="419"/>
        <v>4.86677211339579E-4</v>
      </c>
      <c r="H114" s="232">
        <f t="shared" si="419"/>
        <v>1.5313935681470137E-4</v>
      </c>
      <c r="I114" s="232">
        <f t="shared" si="419"/>
        <v>3.0944821765864243E-3</v>
      </c>
      <c r="J114" s="232">
        <f t="shared" si="419"/>
        <v>3.0809022098817087E-3</v>
      </c>
      <c r="K114" s="232">
        <f t="shared" si="419"/>
        <v>4.1442934880536238E-3</v>
      </c>
      <c r="L114" s="232">
        <f t="shared" si="419"/>
        <v>3.5125176486793608E-3</v>
      </c>
      <c r="M114" s="232">
        <f t="shared" si="419"/>
        <v>3.4734443600526106E-3</v>
      </c>
      <c r="N114" s="232">
        <f t="shared" si="419"/>
        <v>3.5577809988140731E-3</v>
      </c>
      <c r="O114" s="232">
        <f t="shared" si="419"/>
        <v>4.0245186056590927E-3</v>
      </c>
      <c r="P114" s="232">
        <f t="shared" si="419"/>
        <v>3.6974496331664145E-3</v>
      </c>
      <c r="Q114" s="232">
        <f t="shared" si="419"/>
        <v>0</v>
      </c>
      <c r="R114" s="232">
        <f t="shared" si="419"/>
        <v>2.7324654324407281E-3</v>
      </c>
      <c r="S114" s="232">
        <f t="shared" si="419"/>
        <v>0</v>
      </c>
      <c r="T114" s="232">
        <f t="shared" si="419"/>
        <v>3.310178799809414E-3</v>
      </c>
      <c r="U114" s="232">
        <f t="shared" si="419"/>
        <v>0</v>
      </c>
      <c r="V114" s="232">
        <f t="shared" si="419"/>
        <v>4.139948250646867E-3</v>
      </c>
      <c r="W114" s="521">
        <f t="shared" si="419"/>
        <v>1.9234983321565094E-3</v>
      </c>
      <c r="X114" s="232">
        <f t="shared" si="419"/>
        <v>5.4056391627746066E-3</v>
      </c>
      <c r="Y114" s="232">
        <f t="shared" si="419"/>
        <v>5.98357611521479E-3</v>
      </c>
      <c r="Z114" s="232">
        <f t="shared" si="419"/>
        <v>7.119461823602095E-3</v>
      </c>
      <c r="AA114" s="232">
        <f t="shared" si="419"/>
        <v>7.9848345588235288E-3</v>
      </c>
      <c r="AB114" s="521">
        <f t="shared" si="419"/>
        <v>6.6691928760894276E-3</v>
      </c>
      <c r="AC114" s="232">
        <f t="shared" si="419"/>
        <v>9.0547994201916372E-3</v>
      </c>
      <c r="AD114" s="232">
        <f t="shared" si="419"/>
        <v>9.7826480054970886E-3</v>
      </c>
      <c r="AE114" s="232">
        <f t="shared" si="419"/>
        <v>1.2657589510842159E-2</v>
      </c>
      <c r="AF114" s="232">
        <f t="shared" si="419"/>
        <v>1.4289120241595803E-2</v>
      </c>
      <c r="AG114" s="521">
        <f t="shared" si="419"/>
        <v>1.1584383177084236E-2</v>
      </c>
      <c r="AH114" s="232">
        <f t="shared" si="419"/>
        <v>1.6800764511853018E-2</v>
      </c>
      <c r="AI114" s="232">
        <f t="shared" si="419"/>
        <v>2.1305004915410913E-2</v>
      </c>
      <c r="AJ114" s="232">
        <f t="shared" ref="AJ114:CE114" si="420">+AJ$46/AJ$9</f>
        <v>2.3039995534343688E-2</v>
      </c>
      <c r="AK114" s="232">
        <f t="shared" si="420"/>
        <v>2.5431266846361187E-2</v>
      </c>
      <c r="AL114" s="521">
        <f t="shared" si="420"/>
        <v>2.1800788127176045E-2</v>
      </c>
      <c r="AM114" s="232">
        <f t="shared" si="420"/>
        <v>2.7222170606426607E-2</v>
      </c>
      <c r="AN114" s="232">
        <f t="shared" si="420"/>
        <v>2.7847812591062854E-2</v>
      </c>
      <c r="AO114" s="232">
        <f t="shared" si="420"/>
        <v>2.5909932140653916E-2</v>
      </c>
      <c r="AP114" s="232">
        <f t="shared" si="420"/>
        <v>2.423698384201077E-2</v>
      </c>
      <c r="AQ114" s="521">
        <f t="shared" si="420"/>
        <v>2.6252538035552709E-2</v>
      </c>
      <c r="AR114" s="232">
        <f t="shared" si="420"/>
        <v>2.2303884631881571E-2</v>
      </c>
      <c r="AS114" s="232">
        <f t="shared" si="420"/>
        <v>1.5670381627828436E-2</v>
      </c>
      <c r="AT114" s="232">
        <f t="shared" si="420"/>
        <v>1.2066316388915751E-2</v>
      </c>
      <c r="AU114" s="232">
        <f t="shared" si="420"/>
        <v>9.978797692007468E-3</v>
      </c>
      <c r="AV114" s="521">
        <f t="shared" si="420"/>
        <v>1.4836222975895614E-2</v>
      </c>
      <c r="AW114" s="232">
        <f t="shared" si="420"/>
        <v>7.7101161685063455E-3</v>
      </c>
      <c r="AX114" s="232">
        <f t="shared" si="420"/>
        <v>5.6869471023650482E-3</v>
      </c>
      <c r="AY114" s="232">
        <f t="shared" si="420"/>
        <v>5.0031448338955916E-3</v>
      </c>
      <c r="AZ114" s="232">
        <f t="shared" si="420"/>
        <v>4.0899981781745308E-3</v>
      </c>
      <c r="BA114" s="521">
        <f t="shared" si="420"/>
        <v>5.5621491735818587E-3</v>
      </c>
      <c r="BB114" s="232">
        <f t="shared" si="420"/>
        <v>4.5670957503085871E-3</v>
      </c>
      <c r="BC114" s="232">
        <f t="shared" si="420"/>
        <v>6.997906466599384E-3</v>
      </c>
      <c r="BD114" s="232">
        <f t="shared" si="420"/>
        <v>1.2487954062168986E-2</v>
      </c>
      <c r="BE114" s="232">
        <f t="shared" si="420"/>
        <v>1.7317671514493805E-2</v>
      </c>
      <c r="BF114" s="521">
        <f t="shared" si="420"/>
        <v>1.059986972227157E-2</v>
      </c>
      <c r="BG114" s="232">
        <f t="shared" si="420"/>
        <v>1.8342094993227889E-2</v>
      </c>
      <c r="BH114" s="232">
        <f t="shared" si="420"/>
        <v>2.776056964193311E-2</v>
      </c>
      <c r="BI114" s="232">
        <f t="shared" si="420"/>
        <v>3.6170032958674894E-2</v>
      </c>
      <c r="BJ114" s="232">
        <f t="shared" si="420"/>
        <v>3.8479629245348271E-2</v>
      </c>
      <c r="BK114" s="521">
        <f t="shared" si="420"/>
        <v>3.0489234531740909E-2</v>
      </c>
      <c r="BL114" s="232">
        <f t="shared" si="420"/>
        <v>4.1994444634957648E-2</v>
      </c>
      <c r="BM114" s="232">
        <f t="shared" si="420"/>
        <v>4.5074911907900049E-2</v>
      </c>
      <c r="BN114" s="232">
        <f t="shared" si="420"/>
        <v>4.396004341411739E-2</v>
      </c>
      <c r="BO114" s="232">
        <f t="shared" si="420"/>
        <v>3.8909234818551297E-2</v>
      </c>
      <c r="BP114" s="521">
        <f t="shared" si="420"/>
        <v>4.2437838540680839E-2</v>
      </c>
      <c r="BQ114" s="232">
        <f t="shared" si="420"/>
        <v>3.8993364561379369E-2</v>
      </c>
      <c r="BR114" s="232">
        <f t="shared" si="420"/>
        <v>3.9052309492752742E-2</v>
      </c>
      <c r="BS114" s="232">
        <f t="shared" si="420"/>
        <v>3.6872652782519631E-2</v>
      </c>
      <c r="BT114" s="232">
        <f t="shared" si="420"/>
        <v>3.6198811058751043E-2</v>
      </c>
      <c r="BU114" s="521">
        <f t="shared" si="420"/>
        <v>3.7737343545675324E-2</v>
      </c>
      <c r="BV114" s="232">
        <f t="shared" si="420"/>
        <v>3.5996224921128923E-2</v>
      </c>
      <c r="BW114" s="232">
        <f t="shared" si="420"/>
        <v>3.4680881708225024E-2</v>
      </c>
      <c r="BX114" s="232">
        <f t="shared" si="420"/>
        <v>3.3100951330650032E-2</v>
      </c>
      <c r="BY114" s="232">
        <f t="shared" si="420"/>
        <v>3.169791973137652E-2</v>
      </c>
      <c r="BZ114" s="521">
        <f t="shared" si="420"/>
        <v>3.3821077055227113E-2</v>
      </c>
      <c r="CA114" s="232">
        <f t="shared" si="420"/>
        <v>3.172872478072998E-2</v>
      </c>
      <c r="CB114" s="232">
        <f t="shared" si="420"/>
        <v>3.1357131282997004E-2</v>
      </c>
      <c r="CC114" s="232">
        <f t="shared" si="420"/>
        <v>3.0710731722882537E-2</v>
      </c>
      <c r="CD114" s="232">
        <f t="shared" si="420"/>
        <v>2.990369785978917E-2</v>
      </c>
      <c r="CE114" s="521">
        <f t="shared" si="420"/>
        <v>3.0909406786732534E-2</v>
      </c>
    </row>
    <row r="115" spans="2:83" ht="12.6" customHeight="1">
      <c r="B115" s="186" t="s">
        <v>291</v>
      </c>
      <c r="C115" s="214"/>
      <c r="D115" s="232">
        <f t="shared" ref="D115:AI115" si="421">+D$47/D$9</f>
        <v>-5.6627813694492949E-4</v>
      </c>
      <c r="E115" s="232">
        <f t="shared" si="421"/>
        <v>-4.146011716989635E-3</v>
      </c>
      <c r="F115" s="232">
        <f t="shared" si="421"/>
        <v>2.5660764690787785E-3</v>
      </c>
      <c r="G115" s="232">
        <f t="shared" si="421"/>
        <v>-5.8401265360749485E-3</v>
      </c>
      <c r="H115" s="232">
        <f t="shared" si="421"/>
        <v>-2.0564427915117042E-3</v>
      </c>
      <c r="I115" s="232">
        <f t="shared" si="421"/>
        <v>-1.2819997588715187E-2</v>
      </c>
      <c r="J115" s="232">
        <f t="shared" si="421"/>
        <v>1.2551823818036591E-3</v>
      </c>
      <c r="K115" s="232">
        <f t="shared" si="421"/>
        <v>-3.0271361130130817E-3</v>
      </c>
      <c r="L115" s="232">
        <f t="shared" si="421"/>
        <v>-5.0621577878026082E-3</v>
      </c>
      <c r="M115" s="232">
        <f t="shared" si="421"/>
        <v>-4.7887219577258658E-3</v>
      </c>
      <c r="N115" s="232">
        <f t="shared" si="421"/>
        <v>-3.3271840822242721E-3</v>
      </c>
      <c r="O115" s="232">
        <f t="shared" si="421"/>
        <v>-1.145439910841434E-3</v>
      </c>
      <c r="P115" s="232">
        <f t="shared" si="421"/>
        <v>-4.1050425061138927E-3</v>
      </c>
      <c r="Q115" s="232">
        <f t="shared" si="421"/>
        <v>-1.7909386706039976E-2</v>
      </c>
      <c r="R115" s="232">
        <f t="shared" si="421"/>
        <v>-6.9921170243825749E-3</v>
      </c>
      <c r="S115" s="232">
        <f t="shared" si="421"/>
        <v>-4.7475528765369536E-3</v>
      </c>
      <c r="T115" s="232">
        <f t="shared" si="421"/>
        <v>0</v>
      </c>
      <c r="U115" s="232">
        <f t="shared" si="421"/>
        <v>-7.228802185123266E-3</v>
      </c>
      <c r="V115" s="232">
        <f t="shared" si="421"/>
        <v>-8.2123973450331875E-3</v>
      </c>
      <c r="W115" s="521">
        <f t="shared" si="421"/>
        <v>-5.1739670326994714E-3</v>
      </c>
      <c r="X115" s="232">
        <f t="shared" si="421"/>
        <v>-1.4919564089257915E-3</v>
      </c>
      <c r="Y115" s="232">
        <f t="shared" si="421"/>
        <v>-5.1376222506499406E-3</v>
      </c>
      <c r="Z115" s="232">
        <f t="shared" si="421"/>
        <v>-2.4319924686684842E-3</v>
      </c>
      <c r="AA115" s="232">
        <f t="shared" si="421"/>
        <v>-1.014859068627451E-2</v>
      </c>
      <c r="AB115" s="521">
        <f t="shared" si="421"/>
        <v>-4.9109511178476693E-3</v>
      </c>
      <c r="AC115" s="232">
        <f t="shared" si="421"/>
        <v>-4.8944861730765613E-4</v>
      </c>
      <c r="AD115" s="232">
        <f t="shared" si="421"/>
        <v>-3.2548551589454268E-3</v>
      </c>
      <c r="AE115" s="232">
        <f t="shared" si="421"/>
        <v>-1.3783829214994118E-3</v>
      </c>
      <c r="AF115" s="232">
        <f t="shared" si="421"/>
        <v>-3.9259318127632522E-3</v>
      </c>
      <c r="AG115" s="521">
        <f t="shared" si="421"/>
        <v>-2.3177430814285962E-3</v>
      </c>
      <c r="AH115" s="232">
        <f t="shared" si="421"/>
        <v>2.9748142667776444E-3</v>
      </c>
      <c r="AI115" s="232">
        <f t="shared" si="421"/>
        <v>-7.7619473830939211E-3</v>
      </c>
      <c r="AJ115" s="232">
        <f t="shared" ref="AJ115:CE115" si="422">+AJ$47/AJ$9</f>
        <v>-6.9775879873845209E-3</v>
      </c>
      <c r="AK115" s="232">
        <f t="shared" si="422"/>
        <v>4.7169811320754717E-4</v>
      </c>
      <c r="AL115" s="521">
        <f t="shared" si="422"/>
        <v>-2.872110409517765E-3</v>
      </c>
      <c r="AM115" s="232">
        <f t="shared" si="422"/>
        <v>-2.9597971941653506E-3</v>
      </c>
      <c r="AN115" s="232">
        <f t="shared" si="422"/>
        <v>2.9266809410989623E-3</v>
      </c>
      <c r="AO115" s="232">
        <f t="shared" si="422"/>
        <v>-3.9675339599133915E-3</v>
      </c>
      <c r="AP115" s="232">
        <f t="shared" si="422"/>
        <v>-3.3898705471038459E-3</v>
      </c>
      <c r="AQ115" s="521">
        <f t="shared" si="422"/>
        <v>-1.8873967295487972E-3</v>
      </c>
      <c r="AR115" s="232">
        <f t="shared" si="422"/>
        <v>-1.5649815100332704E-3</v>
      </c>
      <c r="AS115" s="232">
        <f t="shared" si="422"/>
        <v>2.1839468647979286E-3</v>
      </c>
      <c r="AT115" s="232">
        <f t="shared" si="422"/>
        <v>2.2456457037251932E-3</v>
      </c>
      <c r="AU115" s="232">
        <f t="shared" si="422"/>
        <v>-2.7531355154481493E-3</v>
      </c>
      <c r="AV115" s="521">
        <f t="shared" si="422"/>
        <v>1.9285712317784458E-5</v>
      </c>
      <c r="AW115" s="232">
        <f t="shared" si="422"/>
        <v>-2.5218074331307618E-3</v>
      </c>
      <c r="AX115" s="232">
        <f t="shared" si="422"/>
        <v>-8.0239112555415134E-4</v>
      </c>
      <c r="AY115" s="232">
        <f t="shared" si="422"/>
        <v>-4.2979396573084036E-3</v>
      </c>
      <c r="AZ115" s="232">
        <f t="shared" si="422"/>
        <v>1.8400437238112589E-3</v>
      </c>
      <c r="BA115" s="521">
        <f t="shared" si="422"/>
        <v>-1.3935773836739856E-3</v>
      </c>
      <c r="BB115" s="232">
        <f t="shared" si="422"/>
        <v>-6.2599188855581023E-3</v>
      </c>
      <c r="BC115" s="232">
        <f t="shared" si="422"/>
        <v>-1.426271758985095E-2</v>
      </c>
      <c r="BD115" s="232">
        <f t="shared" si="422"/>
        <v>-8.569539904906779E-3</v>
      </c>
      <c r="BE115" s="232">
        <f t="shared" si="422"/>
        <v>1.1142614769696368E-2</v>
      </c>
      <c r="BF115" s="521">
        <f t="shared" si="422"/>
        <v>-4.1615362153707303E-3</v>
      </c>
      <c r="BG115" s="232">
        <f t="shared" si="422"/>
        <v>-1.652854617662588E-3</v>
      </c>
      <c r="BH115" s="232">
        <f t="shared" si="422"/>
        <v>-6.9893374341333291E-3</v>
      </c>
      <c r="BI115" s="232">
        <f t="shared" si="422"/>
        <v>-4.9860559452378937E-3</v>
      </c>
      <c r="BJ115" s="232">
        <f t="shared" si="422"/>
        <v>3.8735560628069448E-3</v>
      </c>
      <c r="BK115" s="521">
        <f t="shared" si="422"/>
        <v>-2.386114006831897E-3</v>
      </c>
      <c r="BL115" s="232">
        <f t="shared" si="422"/>
        <v>-9.5950070299372445E-3</v>
      </c>
      <c r="BM115" s="232">
        <f t="shared" si="422"/>
        <v>-3.9473330284853538E-3</v>
      </c>
      <c r="BN115" s="232">
        <f t="shared" si="422"/>
        <v>3.9319672184419015E-3</v>
      </c>
      <c r="BO115" s="232">
        <f t="shared" si="422"/>
        <v>-1.1162691358179797E-2</v>
      </c>
      <c r="BP115" s="521">
        <f t="shared" si="422"/>
        <v>-5.1977464362189772E-3</v>
      </c>
      <c r="BQ115" s="232">
        <f t="shared" si="422"/>
        <v>1.9825014540428647E-3</v>
      </c>
      <c r="BR115" s="232">
        <f t="shared" si="422"/>
        <v>6.0891614145871685E-3</v>
      </c>
      <c r="BS115" s="232">
        <f t="shared" si="422"/>
        <v>-5.5155931764401169E-3</v>
      </c>
      <c r="BT115" s="232">
        <f t="shared" si="422"/>
        <v>-4.3016396435458289E-3</v>
      </c>
      <c r="BU115" s="521">
        <f t="shared" si="422"/>
        <v>-5.6043340183074906E-4</v>
      </c>
      <c r="BV115" s="232">
        <f t="shared" si="422"/>
        <v>-4.3460614236238929E-3</v>
      </c>
      <c r="BW115" s="232">
        <f t="shared" si="422"/>
        <v>-4.2553921575267158E-3</v>
      </c>
      <c r="BX115" s="232">
        <f t="shared" si="422"/>
        <v>-4.1287208111348422E-3</v>
      </c>
      <c r="BY115" s="232">
        <f t="shared" si="422"/>
        <v>-4.0202239659306808E-3</v>
      </c>
      <c r="BZ115" s="521">
        <f t="shared" si="422"/>
        <v>-4.1839363576113607E-3</v>
      </c>
      <c r="CA115" s="232">
        <f t="shared" si="422"/>
        <v>-4.0241309477999001E-3</v>
      </c>
      <c r="CB115" s="232">
        <f t="shared" si="422"/>
        <v>-3.9770020163801085E-3</v>
      </c>
      <c r="CC115" s="232">
        <f t="shared" si="422"/>
        <v>-3.8950196331460781E-3</v>
      </c>
      <c r="CD115" s="232">
        <f t="shared" si="422"/>
        <v>-3.7926641188025289E-3</v>
      </c>
      <c r="CE115" s="521">
        <f t="shared" si="422"/>
        <v>-3.9202174461221749E-3</v>
      </c>
    </row>
    <row r="116" spans="2:83" ht="6.75" hidden="1" customHeight="1">
      <c r="B116" s="206"/>
      <c r="C116" s="206"/>
      <c r="D116" s="189" t="s">
        <v>0</v>
      </c>
      <c r="E116" s="189" t="s">
        <v>0</v>
      </c>
      <c r="F116" s="189" t="s">
        <v>0</v>
      </c>
      <c r="G116" s="189" t="s">
        <v>0</v>
      </c>
      <c r="H116" s="189" t="s">
        <v>0</v>
      </c>
      <c r="I116" s="189" t="s">
        <v>0</v>
      </c>
      <c r="J116" s="189" t="s">
        <v>0</v>
      </c>
      <c r="K116" s="189" t="s">
        <v>0</v>
      </c>
      <c r="L116" s="189" t="s">
        <v>0</v>
      </c>
      <c r="M116" s="189" t="s">
        <v>0</v>
      </c>
      <c r="N116" s="189" t="s">
        <v>0</v>
      </c>
      <c r="O116" s="189" t="s">
        <v>0</v>
      </c>
      <c r="P116" s="189" t="s">
        <v>0</v>
      </c>
      <c r="Q116" s="189" t="s">
        <v>0</v>
      </c>
      <c r="R116" s="189" t="s">
        <v>0</v>
      </c>
      <c r="S116" s="189" t="s">
        <v>0</v>
      </c>
      <c r="T116" s="189" t="s">
        <v>0</v>
      </c>
      <c r="U116" s="189" t="s">
        <v>0</v>
      </c>
      <c r="V116" s="189" t="s">
        <v>0</v>
      </c>
      <c r="W116" s="522" t="s">
        <v>0</v>
      </c>
      <c r="X116" s="189" t="s">
        <v>0</v>
      </c>
      <c r="Y116" s="189" t="s">
        <v>0</v>
      </c>
      <c r="Z116" s="189" t="s">
        <v>0</v>
      </c>
      <c r="AA116" s="189" t="s">
        <v>0</v>
      </c>
      <c r="AB116" s="522" t="s">
        <v>0</v>
      </c>
      <c r="AC116" s="189" t="s">
        <v>0</v>
      </c>
      <c r="AD116" s="189" t="s">
        <v>0</v>
      </c>
      <c r="AE116" s="189" t="s">
        <v>0</v>
      </c>
      <c r="AF116" s="189" t="s">
        <v>0</v>
      </c>
      <c r="AG116" s="522" t="s">
        <v>0</v>
      </c>
      <c r="AH116" s="189" t="s">
        <v>0</v>
      </c>
      <c r="AI116" s="189" t="s">
        <v>0</v>
      </c>
      <c r="AJ116" s="189" t="s">
        <v>0</v>
      </c>
      <c r="AK116" s="189" t="s">
        <v>0</v>
      </c>
      <c r="AL116" s="522" t="s">
        <v>0</v>
      </c>
      <c r="AM116" s="189" t="s">
        <v>0</v>
      </c>
      <c r="AN116" s="189" t="s">
        <v>0</v>
      </c>
      <c r="AO116" s="189" t="s">
        <v>0</v>
      </c>
      <c r="AP116" s="189" t="s">
        <v>0</v>
      </c>
      <c r="AQ116" s="522" t="s">
        <v>0</v>
      </c>
      <c r="AR116" s="189" t="s">
        <v>0</v>
      </c>
      <c r="AS116" s="189" t="s">
        <v>0</v>
      </c>
      <c r="AT116" s="189" t="s">
        <v>0</v>
      </c>
      <c r="AU116" s="189" t="s">
        <v>0</v>
      </c>
      <c r="AV116" s="522" t="s">
        <v>0</v>
      </c>
      <c r="AW116" s="189" t="s">
        <v>0</v>
      </c>
      <c r="AX116" s="189" t="s">
        <v>0</v>
      </c>
      <c r="AY116" s="189" t="s">
        <v>0</v>
      </c>
      <c r="AZ116" s="189" t="s">
        <v>0</v>
      </c>
      <c r="BA116" s="522" t="s">
        <v>0</v>
      </c>
      <c r="BB116" s="189" t="s">
        <v>0</v>
      </c>
      <c r="BC116" s="189" t="s">
        <v>0</v>
      </c>
      <c r="BD116" s="189" t="s">
        <v>0</v>
      </c>
      <c r="BE116" s="189" t="s">
        <v>0</v>
      </c>
      <c r="BF116" s="522" t="s">
        <v>0</v>
      </c>
      <c r="BG116" s="189" t="s">
        <v>0</v>
      </c>
      <c r="BH116" s="189" t="s">
        <v>0</v>
      </c>
      <c r="BI116" s="189" t="s">
        <v>0</v>
      </c>
      <c r="BJ116" s="189" t="s">
        <v>0</v>
      </c>
      <c r="BK116" s="522" t="s">
        <v>0</v>
      </c>
      <c r="BL116" s="189" t="s">
        <v>0</v>
      </c>
      <c r="BM116" s="189" t="s">
        <v>0</v>
      </c>
      <c r="BN116" s="189" t="s">
        <v>0</v>
      </c>
      <c r="BO116" s="189" t="s">
        <v>0</v>
      </c>
      <c r="BP116" s="522" t="s">
        <v>0</v>
      </c>
      <c r="BQ116" s="189" t="s">
        <v>0</v>
      </c>
      <c r="BR116" s="189" t="s">
        <v>0</v>
      </c>
      <c r="BS116" s="189" t="s">
        <v>0</v>
      </c>
      <c r="BT116" s="189" t="s">
        <v>0</v>
      </c>
      <c r="BU116" s="522" t="s">
        <v>0</v>
      </c>
      <c r="BV116" s="189" t="s">
        <v>0</v>
      </c>
      <c r="BW116" s="189" t="s">
        <v>0</v>
      </c>
      <c r="BX116" s="189" t="s">
        <v>0</v>
      </c>
      <c r="BY116" s="189" t="s">
        <v>0</v>
      </c>
      <c r="BZ116" s="522" t="s">
        <v>0</v>
      </c>
      <c r="CA116" s="189" t="s">
        <v>0</v>
      </c>
      <c r="CB116" s="189" t="s">
        <v>0</v>
      </c>
      <c r="CC116" s="189" t="s">
        <v>0</v>
      </c>
      <c r="CD116" s="189" t="s">
        <v>0</v>
      </c>
      <c r="CE116" s="522" t="s">
        <v>0</v>
      </c>
    </row>
    <row r="117" spans="2:83" ht="13.35" hidden="1" customHeight="1">
      <c r="B117" s="206" t="s">
        <v>10</v>
      </c>
      <c r="C117" s="206"/>
      <c r="D117" s="232">
        <f t="shared" ref="D117:AI117" si="423">+D$49/D$9</f>
        <v>2.2132037185597659E-2</v>
      </c>
      <c r="E117" s="232">
        <f t="shared" si="423"/>
        <v>2.365930599369085E-2</v>
      </c>
      <c r="F117" s="232">
        <f t="shared" si="423"/>
        <v>0.11850996493028826</v>
      </c>
      <c r="G117" s="232">
        <f t="shared" si="423"/>
        <v>9.4334266131321884E-2</v>
      </c>
      <c r="H117" s="232">
        <f t="shared" si="423"/>
        <v>6.6626558739881908E-2</v>
      </c>
      <c r="I117" s="232">
        <f t="shared" si="423"/>
        <v>1.6718241369609775E-2</v>
      </c>
      <c r="J117" s="232">
        <f t="shared" si="423"/>
        <v>8.3792932942832146E-2</v>
      </c>
      <c r="K117" s="232">
        <f t="shared" si="423"/>
        <v>0.11315723089120329</v>
      </c>
      <c r="L117" s="232">
        <f t="shared" si="423"/>
        <v>6.4430593339991141E-2</v>
      </c>
      <c r="M117" s="232">
        <f t="shared" si="423"/>
        <v>7.0673014579203816E-2</v>
      </c>
      <c r="N117" s="232">
        <f t="shared" si="423"/>
        <v>6.1536434312821187E-2</v>
      </c>
      <c r="O117" s="232">
        <f t="shared" si="423"/>
        <v>0.13497616246672034</v>
      </c>
      <c r="P117" s="232">
        <f t="shared" si="423"/>
        <v>0.17424595318504715</v>
      </c>
      <c r="Q117" s="232">
        <f t="shared" si="423"/>
        <v>0.19391354277745879</v>
      </c>
      <c r="R117" s="232">
        <f t="shared" si="423"/>
        <v>0.14452121965278975</v>
      </c>
      <c r="S117" s="232">
        <f t="shared" si="423"/>
        <v>0.23252340436881552</v>
      </c>
      <c r="T117" s="232">
        <f t="shared" si="423"/>
        <v>0.24630739524036413</v>
      </c>
      <c r="U117" s="232">
        <f t="shared" si="423"/>
        <v>0.26242671124820455</v>
      </c>
      <c r="V117" s="232">
        <f t="shared" si="423"/>
        <v>0.27739903251209358</v>
      </c>
      <c r="W117" s="521">
        <f t="shared" si="423"/>
        <v>0.25574005989627718</v>
      </c>
      <c r="X117" s="232">
        <f t="shared" si="423"/>
        <v>0.26946030098598861</v>
      </c>
      <c r="Y117" s="232">
        <f t="shared" si="423"/>
        <v>0.24326331861511163</v>
      </c>
      <c r="Z117" s="232">
        <f t="shared" si="423"/>
        <v>0.26124306195696945</v>
      </c>
      <c r="AA117" s="232">
        <f t="shared" si="423"/>
        <v>0.26275275735294118</v>
      </c>
      <c r="AB117" s="521">
        <f t="shared" si="423"/>
        <v>0.25915877226222056</v>
      </c>
      <c r="AC117" s="232">
        <f t="shared" si="423"/>
        <v>0.23420116338171346</v>
      </c>
      <c r="AD117" s="232">
        <f t="shared" si="423"/>
        <v>0.28599327329933816</v>
      </c>
      <c r="AE117" s="232">
        <f t="shared" si="423"/>
        <v>0.32524794083039166</v>
      </c>
      <c r="AF117" s="232">
        <f t="shared" si="423"/>
        <v>0.30655646507192241</v>
      </c>
      <c r="AG117" s="521">
        <f t="shared" si="423"/>
        <v>0.28979586531963192</v>
      </c>
      <c r="AH117" s="232">
        <f t="shared" si="423"/>
        <v>0.29945436049200036</v>
      </c>
      <c r="AI117" s="232">
        <f t="shared" si="423"/>
        <v>0.31181312634806979</v>
      </c>
      <c r="AJ117" s="232">
        <f t="shared" ref="AJ117:CE117" si="424">+AJ$49/AJ$9</f>
        <v>0.37494766809009461</v>
      </c>
      <c r="AK117" s="232">
        <f t="shared" si="424"/>
        <v>0.33269541778975742</v>
      </c>
      <c r="AL117" s="521">
        <f t="shared" si="424"/>
        <v>0.33071580449569543</v>
      </c>
      <c r="AM117" s="232">
        <f t="shared" si="424"/>
        <v>0.34503537156736525</v>
      </c>
      <c r="AN117" s="232">
        <f t="shared" si="424"/>
        <v>0.37277806636344057</v>
      </c>
      <c r="AO117" s="232">
        <f t="shared" si="424"/>
        <v>0.41414764548632532</v>
      </c>
      <c r="AP117" s="232">
        <f t="shared" si="424"/>
        <v>0.38447273929887554</v>
      </c>
      <c r="AQ117" s="521">
        <f t="shared" si="424"/>
        <v>0.37999172903574863</v>
      </c>
      <c r="AR117" s="232">
        <f t="shared" si="424"/>
        <v>0.39105989821823955</v>
      </c>
      <c r="AS117" s="232">
        <f t="shared" si="424"/>
        <v>0.42843633907463696</v>
      </c>
      <c r="AT117" s="232">
        <f t="shared" si="424"/>
        <v>0.42685534388464474</v>
      </c>
      <c r="AU117" s="232">
        <f t="shared" si="424"/>
        <v>0.38861404415565237</v>
      </c>
      <c r="AV117" s="521">
        <f t="shared" si="424"/>
        <v>0.40874689706664313</v>
      </c>
      <c r="AW117" s="232">
        <f t="shared" si="424"/>
        <v>0.38901980238951589</v>
      </c>
      <c r="AX117" s="232">
        <f t="shared" si="424"/>
        <v>0.4016769974524082</v>
      </c>
      <c r="AY117" s="232">
        <f t="shared" si="424"/>
        <v>0.4114872205386243</v>
      </c>
      <c r="AZ117" s="232">
        <f t="shared" si="424"/>
        <v>0.38959737657132448</v>
      </c>
      <c r="BA117" s="521">
        <f t="shared" si="424"/>
        <v>0.39797700232506106</v>
      </c>
      <c r="BB117" s="232">
        <f t="shared" si="424"/>
        <v>0.41257273849409276</v>
      </c>
      <c r="BC117" s="232">
        <f t="shared" si="424"/>
        <v>0.38714520447398931</v>
      </c>
      <c r="BD117" s="232">
        <f t="shared" si="424"/>
        <v>0.38606732982375103</v>
      </c>
      <c r="BE117" s="232">
        <f t="shared" si="424"/>
        <v>0.39059526629932212</v>
      </c>
      <c r="BF117" s="521">
        <f t="shared" si="424"/>
        <v>0.39367969239753903</v>
      </c>
      <c r="BG117" s="232">
        <f t="shared" si="424"/>
        <v>0.41446859958831678</v>
      </c>
      <c r="BH117" s="232">
        <f t="shared" si="424"/>
        <v>0.45517422326523771</v>
      </c>
      <c r="BI117" s="232">
        <f t="shared" si="424"/>
        <v>0.47407673455590299</v>
      </c>
      <c r="BJ117" s="232">
        <f t="shared" si="424"/>
        <v>0.46262710105831084</v>
      </c>
      <c r="BK117" s="521">
        <f t="shared" si="424"/>
        <v>0.45236429089308838</v>
      </c>
      <c r="BL117" s="232">
        <f t="shared" si="424"/>
        <v>0.47521004080792839</v>
      </c>
      <c r="BM117" s="232">
        <f t="shared" si="424"/>
        <v>0.48444602845845552</v>
      </c>
      <c r="BN117" s="232">
        <f t="shared" si="424"/>
        <v>0.47691187844047134</v>
      </c>
      <c r="BO117" s="232">
        <f t="shared" si="424"/>
        <v>0.4720618627937509</v>
      </c>
      <c r="BP117" s="521">
        <f t="shared" si="424"/>
        <v>0.47707675316958842</v>
      </c>
      <c r="BQ117" s="232">
        <f t="shared" si="424"/>
        <v>0.48635075891656609</v>
      </c>
      <c r="BR117" s="232">
        <f t="shared" si="424"/>
        <v>0.47237020150918557</v>
      </c>
      <c r="BS117" s="232">
        <f t="shared" si="424"/>
        <v>0.50251350937709705</v>
      </c>
      <c r="BT117" s="232">
        <f t="shared" si="424"/>
        <v>0.4890291073812485</v>
      </c>
      <c r="BU117" s="521">
        <f t="shared" si="424"/>
        <v>0.48772800298897812</v>
      </c>
      <c r="BV117" s="232">
        <f t="shared" si="424"/>
        <v>0.46419716386060866</v>
      </c>
      <c r="BW117" s="232">
        <f t="shared" si="424"/>
        <v>0.44922321766793682</v>
      </c>
      <c r="BX117" s="232">
        <f t="shared" si="424"/>
        <v>0.44762518379515409</v>
      </c>
      <c r="BY117" s="232">
        <f t="shared" si="424"/>
        <v>0.43525345631824053</v>
      </c>
      <c r="BZ117" s="521">
        <f t="shared" si="424"/>
        <v>0.44878754602720156</v>
      </c>
      <c r="CA117" s="232">
        <f t="shared" si="424"/>
        <v>0.44719730833028271</v>
      </c>
      <c r="CB117" s="232">
        <f t="shared" si="424"/>
        <v>0.4510107544166535</v>
      </c>
      <c r="CC117" s="232">
        <f t="shared" si="424"/>
        <v>0.45899452313248945</v>
      </c>
      <c r="CD117" s="232">
        <f t="shared" si="424"/>
        <v>0.4680617014826971</v>
      </c>
      <c r="CE117" s="521">
        <f t="shared" si="424"/>
        <v>0.45649696495373882</v>
      </c>
    </row>
    <row r="118" spans="2:83" ht="5.25" hidden="1" customHeight="1">
      <c r="B118" s="206"/>
      <c r="C118" s="206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521"/>
      <c r="X118" s="232"/>
      <c r="Y118" s="232"/>
      <c r="Z118" s="232"/>
      <c r="AA118" s="232"/>
      <c r="AB118" s="521"/>
      <c r="AC118" s="232"/>
      <c r="AD118" s="232"/>
      <c r="AE118" s="232"/>
      <c r="AF118" s="232"/>
      <c r="AG118" s="521"/>
      <c r="AH118" s="232"/>
      <c r="AI118" s="232"/>
      <c r="AJ118" s="232"/>
      <c r="AK118" s="232"/>
      <c r="AL118" s="521"/>
      <c r="AM118" s="232"/>
      <c r="AN118" s="232"/>
      <c r="AO118" s="232"/>
      <c r="AP118" s="232"/>
      <c r="AQ118" s="521"/>
      <c r="AR118" s="232"/>
      <c r="AS118" s="232"/>
      <c r="AT118" s="232"/>
      <c r="AU118" s="232"/>
      <c r="AV118" s="521"/>
      <c r="AW118" s="232"/>
      <c r="AX118" s="232"/>
      <c r="AY118" s="232"/>
      <c r="AZ118" s="232"/>
      <c r="BA118" s="521"/>
      <c r="BB118" s="232"/>
      <c r="BC118" s="232"/>
      <c r="BD118" s="232"/>
      <c r="BE118" s="232"/>
      <c r="BF118" s="521"/>
      <c r="BG118" s="232"/>
      <c r="BH118" s="232"/>
      <c r="BI118" s="232"/>
      <c r="BJ118" s="232"/>
      <c r="BK118" s="521"/>
      <c r="BL118" s="232"/>
      <c r="BM118" s="232"/>
      <c r="BN118" s="232"/>
      <c r="BO118" s="232"/>
      <c r="BP118" s="521"/>
      <c r="BQ118" s="232"/>
      <c r="BR118" s="232"/>
      <c r="BS118" s="232"/>
      <c r="BT118" s="232"/>
      <c r="BU118" s="521"/>
      <c r="BV118" s="232"/>
      <c r="BW118" s="232"/>
      <c r="BX118" s="232"/>
      <c r="BY118" s="232"/>
      <c r="BZ118" s="521"/>
      <c r="CA118" s="232"/>
      <c r="CB118" s="232"/>
      <c r="CC118" s="232"/>
      <c r="CD118" s="232"/>
      <c r="CE118" s="521"/>
    </row>
    <row r="119" spans="2:83" ht="12.6" customHeight="1">
      <c r="B119" s="186"/>
      <c r="C119" s="214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521"/>
      <c r="X119" s="232"/>
      <c r="Y119" s="232"/>
      <c r="Z119" s="232"/>
      <c r="AA119" s="232"/>
      <c r="AB119" s="521"/>
      <c r="AC119" s="232"/>
      <c r="AD119" s="232"/>
      <c r="AE119" s="232"/>
      <c r="AF119" s="232"/>
      <c r="AG119" s="521"/>
      <c r="AH119" s="232"/>
      <c r="AI119" s="232"/>
      <c r="AJ119" s="232"/>
      <c r="AK119" s="232"/>
      <c r="AL119" s="521"/>
      <c r="AM119" s="232"/>
      <c r="AN119" s="232"/>
      <c r="AO119" s="232"/>
      <c r="AP119" s="232"/>
      <c r="AQ119" s="521"/>
      <c r="AR119" s="232"/>
      <c r="AS119" s="232"/>
      <c r="AT119" s="232"/>
      <c r="AU119" s="232"/>
      <c r="AV119" s="521"/>
      <c r="AW119" s="232"/>
      <c r="AX119" s="232"/>
      <c r="AY119" s="232"/>
      <c r="AZ119" s="232"/>
      <c r="BA119" s="521"/>
      <c r="BB119" s="232"/>
      <c r="BC119" s="232"/>
      <c r="BD119" s="232"/>
      <c r="BE119" s="232"/>
      <c r="BF119" s="521"/>
      <c r="BG119" s="232"/>
      <c r="BH119" s="232"/>
      <c r="BI119" s="232"/>
      <c r="BJ119" s="232"/>
      <c r="BK119" s="521"/>
      <c r="BL119" s="232"/>
      <c r="BM119" s="232"/>
      <c r="BN119" s="232"/>
      <c r="BO119" s="232"/>
      <c r="BP119" s="521"/>
      <c r="BQ119" s="232"/>
      <c r="BR119" s="232"/>
      <c r="BS119" s="232"/>
      <c r="BT119" s="232"/>
      <c r="BU119" s="521"/>
      <c r="BV119" s="232"/>
      <c r="BW119" s="232"/>
      <c r="BX119" s="232"/>
      <c r="BY119" s="232"/>
      <c r="BZ119" s="521"/>
      <c r="CA119" s="232"/>
      <c r="CB119" s="232"/>
      <c r="CC119" s="232"/>
      <c r="CD119" s="232"/>
      <c r="CE119" s="521"/>
    </row>
    <row r="120" spans="2:83" ht="4.5" hidden="1" customHeight="1">
      <c r="B120" s="186"/>
      <c r="C120" s="214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521"/>
      <c r="X120" s="232"/>
      <c r="Y120" s="232"/>
      <c r="Z120" s="232"/>
      <c r="AA120" s="232"/>
      <c r="AB120" s="521"/>
      <c r="AC120" s="232"/>
      <c r="AD120" s="232"/>
      <c r="AE120" s="232"/>
      <c r="AF120" s="232"/>
      <c r="AG120" s="521"/>
      <c r="AH120" s="232"/>
      <c r="AI120" s="232"/>
      <c r="AJ120" s="232"/>
      <c r="AK120" s="232"/>
      <c r="AL120" s="521"/>
      <c r="AM120" s="232"/>
      <c r="AN120" s="232"/>
      <c r="AO120" s="232"/>
      <c r="AP120" s="232"/>
      <c r="AQ120" s="521"/>
      <c r="AR120" s="232"/>
      <c r="AS120" s="232"/>
      <c r="AT120" s="232"/>
      <c r="AU120" s="232"/>
      <c r="AV120" s="521"/>
      <c r="AW120" s="232"/>
      <c r="AX120" s="232"/>
      <c r="AY120" s="232"/>
      <c r="AZ120" s="232"/>
      <c r="BA120" s="521"/>
      <c r="BB120" s="232"/>
      <c r="BC120" s="232"/>
      <c r="BD120" s="232"/>
      <c r="BE120" s="232"/>
      <c r="BF120" s="521"/>
      <c r="BG120" s="232"/>
      <c r="BH120" s="232"/>
      <c r="BI120" s="232"/>
      <c r="BJ120" s="232"/>
      <c r="BK120" s="521"/>
      <c r="BL120" s="232"/>
      <c r="BM120" s="232"/>
      <c r="BN120" s="232"/>
      <c r="BO120" s="232"/>
      <c r="BP120" s="521"/>
      <c r="BQ120" s="232"/>
      <c r="BR120" s="232"/>
      <c r="BS120" s="232"/>
      <c r="BT120" s="232"/>
      <c r="BU120" s="521"/>
      <c r="BV120" s="232"/>
      <c r="BW120" s="232"/>
      <c r="BX120" s="232"/>
      <c r="BY120" s="232"/>
      <c r="BZ120" s="521"/>
      <c r="CA120" s="232"/>
      <c r="CB120" s="232"/>
      <c r="CC120" s="232"/>
      <c r="CD120" s="232"/>
      <c r="CE120" s="521"/>
    </row>
    <row r="121" spans="2:83" ht="12.6" customHeight="1">
      <c r="B121" s="206" t="s">
        <v>17</v>
      </c>
      <c r="C121" s="206"/>
      <c r="D121" s="232">
        <f t="shared" ref="D121:AI121" si="425">+D$53/D$9</f>
        <v>3.6808078901420416E-3</v>
      </c>
      <c r="E121" s="232">
        <f t="shared" si="425"/>
        <v>-3.5150968904912121E-3</v>
      </c>
      <c r="F121" s="232">
        <f t="shared" si="425"/>
        <v>3.2931314686510992E-3</v>
      </c>
      <c r="G121" s="232">
        <f t="shared" si="425"/>
        <v>1.1396358032201809E-2</v>
      </c>
      <c r="H121" s="232">
        <f t="shared" si="425"/>
        <v>3.9159921242616497E-3</v>
      </c>
      <c r="I121" s="232">
        <f t="shared" si="425"/>
        <v>2.8131656150785678E-3</v>
      </c>
      <c r="J121" s="232">
        <f t="shared" si="425"/>
        <v>3.499296337149595E-3</v>
      </c>
      <c r="K121" s="232">
        <f t="shared" si="425"/>
        <v>7.567840282532704E-3</v>
      </c>
      <c r="L121" s="232">
        <f t="shared" si="425"/>
        <v>4.4078652846172373E-3</v>
      </c>
      <c r="M121" s="232">
        <f t="shared" si="425"/>
        <v>4.6312591467368141E-3</v>
      </c>
      <c r="N121" s="232">
        <f t="shared" si="425"/>
        <v>5.9955198313348269E-3</v>
      </c>
      <c r="O121" s="232">
        <f t="shared" si="425"/>
        <v>5.3866633644975544E-3</v>
      </c>
      <c r="P121" s="232">
        <f t="shared" si="425"/>
        <v>8.2391987888668916E-3</v>
      </c>
      <c r="Q121" s="232">
        <f t="shared" si="425"/>
        <v>4.0220928006999702E-2</v>
      </c>
      <c r="R121" s="232">
        <f t="shared" si="425"/>
        <v>1.5795896061506675E-2</v>
      </c>
      <c r="S121" s="232">
        <f t="shared" si="425"/>
        <v>8.4629130771077268E-2</v>
      </c>
      <c r="T121" s="232">
        <f t="shared" si="425"/>
        <v>8.9675752940291398E-2</v>
      </c>
      <c r="U121" s="232">
        <f t="shared" si="425"/>
        <v>9.550495655654713E-2</v>
      </c>
      <c r="V121" s="232">
        <f t="shared" si="425"/>
        <v>0.10097873776577793</v>
      </c>
      <c r="W121" s="521">
        <f t="shared" si="425"/>
        <v>9.3088797448321201E-2</v>
      </c>
      <c r="X121" s="232">
        <f t="shared" si="425"/>
        <v>9.6998789136827551E-2</v>
      </c>
      <c r="Y121" s="232">
        <f t="shared" si="425"/>
        <v>8.7566541493005412E-2</v>
      </c>
      <c r="Z121" s="232">
        <f t="shared" si="425"/>
        <v>9.4063192578500404E-2</v>
      </c>
      <c r="AA121" s="232">
        <f t="shared" si="425"/>
        <v>9.4592524509803905E-2</v>
      </c>
      <c r="AB121" s="521">
        <f t="shared" si="425"/>
        <v>9.3297966401414675E-2</v>
      </c>
      <c r="AC121" s="232">
        <f t="shared" si="425"/>
        <v>8.4316936804653547E-2</v>
      </c>
      <c r="AD121" s="232">
        <f t="shared" si="425"/>
        <v>0.10296191819464035</v>
      </c>
      <c r="AE121" s="232">
        <f t="shared" si="425"/>
        <v>0.11709531013615734</v>
      </c>
      <c r="AF121" s="232">
        <f t="shared" si="425"/>
        <v>9.9721846936342687E-2</v>
      </c>
      <c r="AG121" s="521">
        <f t="shared" si="425"/>
        <v>0.10143050236539761</v>
      </c>
      <c r="AH121" s="232">
        <f t="shared" si="425"/>
        <v>6.8867720953173645E-2</v>
      </c>
      <c r="AI121" s="232">
        <f t="shared" si="425"/>
        <v>7.1720980734523793E-2</v>
      </c>
      <c r="AJ121" s="232">
        <f t="shared" ref="AJ121:CE121" si="426">+AJ$53/AJ$9</f>
        <v>8.6256942700047454E-2</v>
      </c>
      <c r="AK121" s="232">
        <f t="shared" si="426"/>
        <v>4.5148247978436661E-2</v>
      </c>
      <c r="AL121" s="521">
        <f t="shared" si="426"/>
        <v>6.7722283775982564E-2</v>
      </c>
      <c r="AM121" s="232">
        <f t="shared" si="426"/>
        <v>7.5853098496210664E-2</v>
      </c>
      <c r="AN121" s="232">
        <f t="shared" si="426"/>
        <v>8.2124440953261796E-2</v>
      </c>
      <c r="AO121" s="232">
        <f t="shared" si="426"/>
        <v>9.1216992657642951E-2</v>
      </c>
      <c r="AP121" s="232">
        <f t="shared" si="426"/>
        <v>8.2727015024095241E-2</v>
      </c>
      <c r="AQ121" s="521">
        <f t="shared" si="426"/>
        <v>8.3151175192082261E-2</v>
      </c>
      <c r="AR121" s="232">
        <f t="shared" si="426"/>
        <v>8.2225287782711015E-2</v>
      </c>
      <c r="AS121" s="232">
        <f t="shared" si="426"/>
        <v>8.7492964088708769E-2</v>
      </c>
      <c r="AT121" s="232">
        <f t="shared" si="426"/>
        <v>8.9546465525577795E-2</v>
      </c>
      <c r="AU121" s="232">
        <f t="shared" si="426"/>
        <v>8.6549719939663081E-2</v>
      </c>
      <c r="AV121" s="521">
        <f t="shared" si="426"/>
        <v>8.6521215661100437E-2</v>
      </c>
      <c r="AW121" s="232">
        <f t="shared" si="426"/>
        <v>8.1421307205754676E-2</v>
      </c>
      <c r="AX121" s="232">
        <f t="shared" si="426"/>
        <v>8.4672323524101825E-2</v>
      </c>
      <c r="AY121" s="232">
        <f t="shared" si="426"/>
        <v>8.6006442144586123E-2</v>
      </c>
      <c r="AZ121" s="232">
        <f t="shared" si="426"/>
        <v>8.2155219529969029E-2</v>
      </c>
      <c r="BA121" s="521">
        <f t="shared" si="426"/>
        <v>8.3575729864874063E-2</v>
      </c>
      <c r="BB121" s="232">
        <f t="shared" si="426"/>
        <v>9.901251983777111E-2</v>
      </c>
      <c r="BC121" s="232">
        <f t="shared" si="426"/>
        <v>9.2957887449642604E-2</v>
      </c>
      <c r="BD121" s="232">
        <f t="shared" si="426"/>
        <v>9.2680051926951834E-2</v>
      </c>
      <c r="BE121" s="232">
        <f t="shared" si="426"/>
        <v>9.3680501952632417E-2</v>
      </c>
      <c r="BF121" s="521">
        <f t="shared" si="426"/>
        <v>9.4481982671836939E-2</v>
      </c>
      <c r="BG121" s="232">
        <f t="shared" si="426"/>
        <v>9.940084020109731E-2</v>
      </c>
      <c r="BH121" s="232">
        <f t="shared" si="426"/>
        <v>0.10931498662624171</v>
      </c>
      <c r="BI121" s="232">
        <f t="shared" si="426"/>
        <v>7.4910560860869321E-2</v>
      </c>
      <c r="BJ121" s="232">
        <f t="shared" si="426"/>
        <v>9.7150169468077752E-2</v>
      </c>
      <c r="BK121" s="521">
        <f t="shared" si="426"/>
        <v>9.4995473056570565E-2</v>
      </c>
      <c r="BL121" s="232">
        <f t="shared" si="426"/>
        <v>9.9790816501491714E-2</v>
      </c>
      <c r="BM121" s="232">
        <f t="shared" si="426"/>
        <v>0.10173628856551094</v>
      </c>
      <c r="BN121" s="232">
        <f t="shared" si="426"/>
        <v>0.10015142948130529</v>
      </c>
      <c r="BO121" s="232">
        <f t="shared" si="426"/>
        <v>9.9132488645714889E-2</v>
      </c>
      <c r="BP121" s="521">
        <f t="shared" si="426"/>
        <v>0.1001858219039421</v>
      </c>
      <c r="BQ121" s="232">
        <f t="shared" si="426"/>
        <v>0.1020644281702825</v>
      </c>
      <c r="BR121" s="232">
        <f t="shared" si="426"/>
        <v>9.9267350148114733E-2</v>
      </c>
      <c r="BS121" s="232">
        <f t="shared" si="426"/>
        <v>0.10552618876632015</v>
      </c>
      <c r="BT121" s="232">
        <f t="shared" si="426"/>
        <v>0.10270877785511348</v>
      </c>
      <c r="BU121" s="521">
        <f t="shared" si="426"/>
        <v>0.10242630300765926</v>
      </c>
      <c r="BV121" s="232">
        <f t="shared" si="426"/>
        <v>9.2839432772121727E-2</v>
      </c>
      <c r="BW121" s="232">
        <f t="shared" si="426"/>
        <v>8.9844643533587371E-2</v>
      </c>
      <c r="BX121" s="232">
        <f t="shared" si="426"/>
        <v>8.9525036759030813E-2</v>
      </c>
      <c r="BY121" s="232">
        <f t="shared" si="426"/>
        <v>8.7050691263648117E-2</v>
      </c>
      <c r="BZ121" s="521">
        <f t="shared" si="426"/>
        <v>8.9757509205440303E-2</v>
      </c>
      <c r="CA121" s="232">
        <f t="shared" si="426"/>
        <v>8.9439461666056555E-2</v>
      </c>
      <c r="CB121" s="232">
        <f t="shared" si="426"/>
        <v>9.0202150883330723E-2</v>
      </c>
      <c r="CC121" s="232">
        <f t="shared" si="426"/>
        <v>9.1798904626497896E-2</v>
      </c>
      <c r="CD121" s="232">
        <f t="shared" si="426"/>
        <v>9.361234029653942E-2</v>
      </c>
      <c r="CE121" s="521">
        <f t="shared" si="426"/>
        <v>9.1299392990747782E-2</v>
      </c>
    </row>
    <row r="122" spans="2:83" ht="12.6" customHeight="1">
      <c r="B122" s="206"/>
      <c r="C122" s="206"/>
      <c r="D122" s="189" t="s">
        <v>0</v>
      </c>
      <c r="E122" s="189" t="s">
        <v>0</v>
      </c>
      <c r="F122" s="189" t="s">
        <v>0</v>
      </c>
      <c r="G122" s="189" t="s">
        <v>0</v>
      </c>
      <c r="H122" s="189" t="s">
        <v>0</v>
      </c>
      <c r="I122" s="189" t="s">
        <v>0</v>
      </c>
      <c r="J122" s="189" t="s">
        <v>0</v>
      </c>
      <c r="K122" s="189" t="s">
        <v>0</v>
      </c>
      <c r="L122" s="189" t="s">
        <v>0</v>
      </c>
      <c r="M122" s="189" t="s">
        <v>0</v>
      </c>
      <c r="N122" s="189" t="s">
        <v>0</v>
      </c>
      <c r="O122" s="189" t="s">
        <v>0</v>
      </c>
      <c r="P122" s="189" t="s">
        <v>0</v>
      </c>
      <c r="Q122" s="189" t="s">
        <v>0</v>
      </c>
      <c r="R122" s="189" t="s">
        <v>0</v>
      </c>
      <c r="S122" s="189" t="s">
        <v>0</v>
      </c>
      <c r="T122" s="189" t="s">
        <v>0</v>
      </c>
      <c r="U122" s="189" t="s">
        <v>0</v>
      </c>
      <c r="V122" s="189" t="s">
        <v>0</v>
      </c>
      <c r="W122" s="522" t="s">
        <v>0</v>
      </c>
      <c r="X122" s="189" t="s">
        <v>0</v>
      </c>
      <c r="Y122" s="189" t="s">
        <v>0</v>
      </c>
      <c r="Z122" s="189" t="s">
        <v>0</v>
      </c>
      <c r="AA122" s="189" t="s">
        <v>0</v>
      </c>
      <c r="AB122" s="522" t="s">
        <v>0</v>
      </c>
      <c r="AC122" s="189" t="s">
        <v>0</v>
      </c>
      <c r="AD122" s="189" t="s">
        <v>0</v>
      </c>
      <c r="AE122" s="189" t="s">
        <v>0</v>
      </c>
      <c r="AF122" s="189" t="s">
        <v>0</v>
      </c>
      <c r="AG122" s="522" t="s">
        <v>0</v>
      </c>
      <c r="AH122" s="189" t="s">
        <v>0</v>
      </c>
      <c r="AI122" s="189" t="s">
        <v>0</v>
      </c>
      <c r="AJ122" s="189" t="s">
        <v>0</v>
      </c>
      <c r="AK122" s="189" t="s">
        <v>0</v>
      </c>
      <c r="AL122" s="522" t="s">
        <v>0</v>
      </c>
      <c r="AM122" s="189" t="s">
        <v>0</v>
      </c>
      <c r="AN122" s="189" t="s">
        <v>0</v>
      </c>
      <c r="AO122" s="189" t="s">
        <v>0</v>
      </c>
      <c r="AP122" s="189" t="s">
        <v>0</v>
      </c>
      <c r="AQ122" s="522" t="s">
        <v>0</v>
      </c>
      <c r="AR122" s="189" t="s">
        <v>0</v>
      </c>
      <c r="AS122" s="189" t="s">
        <v>0</v>
      </c>
      <c r="AT122" s="189" t="s">
        <v>0</v>
      </c>
      <c r="AU122" s="189" t="s">
        <v>0</v>
      </c>
      <c r="AV122" s="522" t="s">
        <v>0</v>
      </c>
      <c r="AW122" s="189" t="s">
        <v>0</v>
      </c>
      <c r="AX122" s="189" t="s">
        <v>0</v>
      </c>
      <c r="AY122" s="189" t="s">
        <v>0</v>
      </c>
      <c r="AZ122" s="189" t="s">
        <v>0</v>
      </c>
      <c r="BA122" s="522" t="s">
        <v>0</v>
      </c>
      <c r="BB122" s="189" t="s">
        <v>0</v>
      </c>
      <c r="BC122" s="189" t="s">
        <v>0</v>
      </c>
      <c r="BD122" s="189" t="s">
        <v>0</v>
      </c>
      <c r="BE122" s="189" t="s">
        <v>0</v>
      </c>
      <c r="BF122" s="522" t="s">
        <v>0</v>
      </c>
      <c r="BG122" s="189" t="s">
        <v>0</v>
      </c>
      <c r="BH122" s="189" t="s">
        <v>0</v>
      </c>
      <c r="BI122" s="189" t="s">
        <v>0</v>
      </c>
      <c r="BJ122" s="189" t="s">
        <v>0</v>
      </c>
      <c r="BK122" s="522" t="s">
        <v>0</v>
      </c>
      <c r="BL122" s="189" t="s">
        <v>0</v>
      </c>
      <c r="BM122" s="189" t="s">
        <v>0</v>
      </c>
      <c r="BN122" s="189" t="s">
        <v>0</v>
      </c>
      <c r="BO122" s="189" t="s">
        <v>0</v>
      </c>
      <c r="BP122" s="522" t="s">
        <v>0</v>
      </c>
      <c r="BQ122" s="189" t="s">
        <v>0</v>
      </c>
      <c r="BR122" s="189" t="s">
        <v>0</v>
      </c>
      <c r="BS122" s="189" t="s">
        <v>0</v>
      </c>
      <c r="BT122" s="189" t="s">
        <v>0</v>
      </c>
      <c r="BU122" s="522" t="s">
        <v>0</v>
      </c>
      <c r="BV122" s="189" t="s">
        <v>0</v>
      </c>
      <c r="BW122" s="189" t="s">
        <v>0</v>
      </c>
      <c r="BX122" s="189" t="s">
        <v>0</v>
      </c>
      <c r="BY122" s="189" t="s">
        <v>0</v>
      </c>
      <c r="BZ122" s="522" t="s">
        <v>0</v>
      </c>
      <c r="CA122" s="189" t="s">
        <v>0</v>
      </c>
      <c r="CB122" s="189" t="s">
        <v>0</v>
      </c>
      <c r="CC122" s="189" t="s">
        <v>0</v>
      </c>
      <c r="CD122" s="189" t="s">
        <v>0</v>
      </c>
      <c r="CE122" s="522" t="s">
        <v>0</v>
      </c>
    </row>
    <row r="123" spans="2:83" ht="12.6" customHeight="1">
      <c r="B123" s="206"/>
      <c r="C123" s="206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522"/>
      <c r="X123" s="189"/>
      <c r="Y123" s="189"/>
      <c r="Z123" s="189"/>
      <c r="AA123" s="189"/>
      <c r="AB123" s="522"/>
      <c r="AC123" s="189"/>
      <c r="AD123" s="189"/>
      <c r="AE123" s="189"/>
      <c r="AF123" s="189"/>
      <c r="AG123" s="522"/>
      <c r="AH123" s="189"/>
      <c r="AI123" s="189"/>
      <c r="AJ123" s="189"/>
      <c r="AK123" s="189"/>
      <c r="AL123" s="522"/>
      <c r="AM123" s="189"/>
      <c r="AN123" s="189"/>
      <c r="AO123" s="189"/>
      <c r="AP123" s="189"/>
      <c r="AQ123" s="522"/>
      <c r="AR123" s="189"/>
      <c r="AS123" s="189"/>
      <c r="AT123" s="189"/>
      <c r="AU123" s="189"/>
      <c r="AV123" s="522"/>
      <c r="AW123" s="189"/>
      <c r="AX123" s="189"/>
      <c r="AY123" s="189"/>
      <c r="AZ123" s="189"/>
      <c r="BA123" s="522"/>
      <c r="BB123" s="189"/>
      <c r="BC123" s="189"/>
      <c r="BD123" s="189"/>
      <c r="BE123" s="189"/>
      <c r="BF123" s="522"/>
      <c r="BG123" s="189"/>
      <c r="BH123" s="189"/>
      <c r="BI123" s="189"/>
      <c r="BJ123" s="189"/>
      <c r="BK123" s="522"/>
      <c r="BL123" s="189"/>
      <c r="BM123" s="189"/>
      <c r="BN123" s="189"/>
      <c r="BO123" s="189"/>
      <c r="BP123" s="522"/>
      <c r="BQ123" s="189"/>
      <c r="BR123" s="189"/>
      <c r="BS123" s="189"/>
      <c r="BT123" s="189"/>
      <c r="BU123" s="522"/>
      <c r="BV123" s="189"/>
      <c r="BW123" s="189"/>
      <c r="BX123" s="189"/>
      <c r="BY123" s="189"/>
      <c r="BZ123" s="522"/>
      <c r="CA123" s="189"/>
      <c r="CB123" s="189"/>
      <c r="CC123" s="189"/>
      <c r="CD123" s="189"/>
      <c r="CE123" s="522"/>
    </row>
    <row r="124" spans="2:83" ht="12.6" customHeight="1">
      <c r="B124" s="212" t="s">
        <v>140</v>
      </c>
      <c r="C124" s="212"/>
      <c r="D124" s="231">
        <f t="shared" ref="D124:AI124" si="427">+D$56/D$9</f>
        <v>1.8451229295455618E-2</v>
      </c>
      <c r="E124" s="231">
        <f t="shared" si="427"/>
        <v>2.7174402884182065E-2</v>
      </c>
      <c r="F124" s="231">
        <f t="shared" si="427"/>
        <v>0.11521683346163716</v>
      </c>
      <c r="G124" s="231">
        <f t="shared" si="427"/>
        <v>8.2937908099120078E-2</v>
      </c>
      <c r="H124" s="231">
        <f t="shared" si="427"/>
        <v>6.2710566615620258E-2</v>
      </c>
      <c r="I124" s="231">
        <f t="shared" si="427"/>
        <v>1.3905075754531206E-2</v>
      </c>
      <c r="J124" s="231">
        <f t="shared" si="427"/>
        <v>8.0293636605682547E-2</v>
      </c>
      <c r="K124" s="231">
        <f t="shared" si="427"/>
        <v>0.10558939060867058</v>
      </c>
      <c r="L124" s="231">
        <f t="shared" si="427"/>
        <v>6.0022728055373911E-2</v>
      </c>
      <c r="M124" s="231">
        <f t="shared" si="427"/>
        <v>6.6041755432467E-2</v>
      </c>
      <c r="N124" s="231">
        <f t="shared" si="427"/>
        <v>5.5540914481486361E-2</v>
      </c>
      <c r="O124" s="231">
        <f t="shared" si="427"/>
        <v>0.12958949910222278</v>
      </c>
      <c r="P124" s="231">
        <f t="shared" si="427"/>
        <v>0.16600675439618026</v>
      </c>
      <c r="Q124" s="231">
        <f t="shared" si="427"/>
        <v>0.15369261477045909</v>
      </c>
      <c r="R124" s="231">
        <f t="shared" si="427"/>
        <v>0.12872532359128305</v>
      </c>
      <c r="S124" s="231">
        <f t="shared" si="427"/>
        <v>0.14789427359773824</v>
      </c>
      <c r="T124" s="231">
        <f t="shared" si="427"/>
        <v>0.15663164230007273</v>
      </c>
      <c r="U124" s="231">
        <f t="shared" si="427"/>
        <v>0.16692175469165743</v>
      </c>
      <c r="V124" s="231">
        <f t="shared" si="427"/>
        <v>0.17642029474631568</v>
      </c>
      <c r="W124" s="520">
        <f t="shared" si="427"/>
        <v>0.16265126244795597</v>
      </c>
      <c r="X124" s="231">
        <f t="shared" si="427"/>
        <v>0.17246151184916103</v>
      </c>
      <c r="Y124" s="231">
        <f t="shared" si="427"/>
        <v>0.15569677712210622</v>
      </c>
      <c r="Z124" s="231">
        <f t="shared" si="427"/>
        <v>0.16717986937846901</v>
      </c>
      <c r="AA124" s="231">
        <f t="shared" si="427"/>
        <v>0.16816023284313725</v>
      </c>
      <c r="AB124" s="520">
        <f t="shared" si="427"/>
        <v>0.16586080586080587</v>
      </c>
      <c r="AC124" s="231">
        <f t="shared" si="427"/>
        <v>0.14988422657705991</v>
      </c>
      <c r="AD124" s="231">
        <f t="shared" si="427"/>
        <v>0.18303135510469784</v>
      </c>
      <c r="AE124" s="231">
        <f t="shared" si="427"/>
        <v>0.20815263069423431</v>
      </c>
      <c r="AF124" s="231">
        <f t="shared" si="427"/>
        <v>0.20683461813557974</v>
      </c>
      <c r="AG124" s="520">
        <f t="shared" si="427"/>
        <v>0.18836536295423431</v>
      </c>
      <c r="AH124" s="231">
        <f t="shared" si="427"/>
        <v>0.23058663953882672</v>
      </c>
      <c r="AI124" s="231">
        <f t="shared" si="427"/>
        <v>0.240092145613546</v>
      </c>
      <c r="AJ124" s="231">
        <f t="shared" ref="AJ124:CE124" si="428">+AJ$56/AJ$9</f>
        <v>0.28869072539004714</v>
      </c>
      <c r="AK124" s="231">
        <f t="shared" si="428"/>
        <v>0.28754716981132078</v>
      </c>
      <c r="AL124" s="520">
        <f t="shared" si="428"/>
        <v>0.26299352071971288</v>
      </c>
      <c r="AM124" s="231">
        <f t="shared" si="428"/>
        <v>0.26918227307115461</v>
      </c>
      <c r="AN124" s="231">
        <f t="shared" si="428"/>
        <v>0.29065362541017875</v>
      </c>
      <c r="AO124" s="231">
        <f t="shared" si="428"/>
        <v>0.32293065282868239</v>
      </c>
      <c r="AP124" s="231">
        <f t="shared" si="428"/>
        <v>0.3017457242747803</v>
      </c>
      <c r="AQ124" s="520">
        <f t="shared" si="428"/>
        <v>0.29684055384366631</v>
      </c>
      <c r="AR124" s="231">
        <f t="shared" si="428"/>
        <v>0.30883461043552857</v>
      </c>
      <c r="AS124" s="231">
        <f t="shared" si="428"/>
        <v>0.34094337498592819</v>
      </c>
      <c r="AT124" s="231">
        <f t="shared" si="428"/>
        <v>0.33730887835906692</v>
      </c>
      <c r="AU124" s="231">
        <f t="shared" si="428"/>
        <v>0.30206432421598928</v>
      </c>
      <c r="AV124" s="520">
        <f t="shared" si="428"/>
        <v>0.3222256814055427</v>
      </c>
      <c r="AW124" s="231">
        <f t="shared" si="428"/>
        <v>0.3075984951837612</v>
      </c>
      <c r="AX124" s="231">
        <f t="shared" si="428"/>
        <v>0.31700467392830634</v>
      </c>
      <c r="AY124" s="231">
        <f t="shared" si="428"/>
        <v>0.32548077839403816</v>
      </c>
      <c r="AZ124" s="231">
        <f t="shared" si="428"/>
        <v>0.30744215704135541</v>
      </c>
      <c r="BA124" s="520">
        <f t="shared" si="428"/>
        <v>0.31440127246018695</v>
      </c>
      <c r="BB124" s="231">
        <f t="shared" si="428"/>
        <v>0.31356021865632161</v>
      </c>
      <c r="BC124" s="231">
        <f t="shared" si="428"/>
        <v>0.2941873170243467</v>
      </c>
      <c r="BD124" s="231">
        <f t="shared" si="428"/>
        <v>0.29338727789679919</v>
      </c>
      <c r="BE124" s="231">
        <f t="shared" si="428"/>
        <v>0.29691476434668967</v>
      </c>
      <c r="BF124" s="520">
        <f t="shared" si="428"/>
        <v>0.29919770972570209</v>
      </c>
      <c r="BG124" s="231">
        <f t="shared" si="428"/>
        <v>0.31506775938721948</v>
      </c>
      <c r="BH124" s="231">
        <f t="shared" si="428"/>
        <v>0.34585923663899598</v>
      </c>
      <c r="BI124" s="231">
        <f t="shared" si="428"/>
        <v>0.39916617369503365</v>
      </c>
      <c r="BJ124" s="231">
        <f t="shared" si="428"/>
        <v>0.36547693159023309</v>
      </c>
      <c r="BK124" s="520">
        <f t="shared" si="428"/>
        <v>0.3573688178365178</v>
      </c>
      <c r="BL124" s="231">
        <f t="shared" si="428"/>
        <v>0.37541922430643671</v>
      </c>
      <c r="BM124" s="231">
        <f t="shared" si="428"/>
        <v>0.38270973989294454</v>
      </c>
      <c r="BN124" s="231">
        <f t="shared" si="428"/>
        <v>0.37676044895916605</v>
      </c>
      <c r="BO124" s="231">
        <f t="shared" si="428"/>
        <v>0.37292937414803601</v>
      </c>
      <c r="BP124" s="520">
        <f t="shared" si="428"/>
        <v>0.37689093126564632</v>
      </c>
      <c r="BQ124" s="231">
        <f t="shared" si="428"/>
        <v>0.3842863307462836</v>
      </c>
      <c r="BR124" s="231">
        <f t="shared" si="428"/>
        <v>0.3731028513610708</v>
      </c>
      <c r="BS124" s="231">
        <f t="shared" si="428"/>
        <v>0.39698732061077691</v>
      </c>
      <c r="BT124" s="231">
        <f t="shared" si="428"/>
        <v>0.38632032952613504</v>
      </c>
      <c r="BU124" s="520">
        <f t="shared" si="428"/>
        <v>0.38530169998131891</v>
      </c>
      <c r="BV124" s="231">
        <f t="shared" si="428"/>
        <v>0.37135773108848691</v>
      </c>
      <c r="BW124" s="231">
        <f t="shared" si="428"/>
        <v>0.35937857413434948</v>
      </c>
      <c r="BX124" s="231">
        <f t="shared" si="428"/>
        <v>0.35810014703612325</v>
      </c>
      <c r="BY124" s="231">
        <f t="shared" si="428"/>
        <v>0.34820276505459241</v>
      </c>
      <c r="BZ124" s="520">
        <f t="shared" si="428"/>
        <v>0.35903003682176127</v>
      </c>
      <c r="CA124" s="231">
        <f t="shared" si="428"/>
        <v>0.35775784666422622</v>
      </c>
      <c r="CB124" s="231">
        <f t="shared" si="428"/>
        <v>0.36080860353332278</v>
      </c>
      <c r="CC124" s="231">
        <f t="shared" si="428"/>
        <v>0.36719561850599158</v>
      </c>
      <c r="CD124" s="231">
        <f t="shared" si="428"/>
        <v>0.37444936118615768</v>
      </c>
      <c r="CE124" s="520">
        <f t="shared" si="428"/>
        <v>0.36519757196299102</v>
      </c>
    </row>
    <row r="125" spans="2:83" ht="12.6" customHeight="1">
      <c r="B125" s="186"/>
      <c r="C125" s="214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185"/>
      <c r="AF125" s="185"/>
      <c r="AG125" s="185"/>
      <c r="AH125" s="185"/>
      <c r="AI125" s="185"/>
      <c r="AJ125" s="185"/>
      <c r="AK125" s="185"/>
      <c r="AL125" s="185"/>
      <c r="AM125" s="185"/>
      <c r="AN125" s="185"/>
      <c r="AO125" s="185"/>
      <c r="AP125" s="185"/>
      <c r="AQ125" s="185"/>
      <c r="AR125" s="185"/>
      <c r="AS125" s="185"/>
      <c r="AT125" s="185"/>
      <c r="AU125" s="185"/>
      <c r="AV125" s="185"/>
      <c r="AW125" s="185"/>
      <c r="AX125" s="185"/>
      <c r="AY125" s="185"/>
      <c r="AZ125" s="185"/>
      <c r="BA125" s="185"/>
      <c r="BB125" s="185"/>
      <c r="BC125" s="185"/>
      <c r="BD125" s="185"/>
      <c r="BE125" s="185"/>
      <c r="BF125" s="185"/>
      <c r="BG125" s="185"/>
      <c r="BH125" s="185"/>
      <c r="BI125" s="185"/>
      <c r="BJ125" s="185"/>
      <c r="BK125" s="185"/>
      <c r="BL125" s="185"/>
      <c r="BM125" s="185"/>
      <c r="BN125" s="185"/>
      <c r="BO125" s="185"/>
      <c r="BP125" s="185"/>
      <c r="BQ125" s="185"/>
      <c r="BR125" s="185"/>
      <c r="BS125" s="185"/>
      <c r="BT125" s="185"/>
      <c r="BU125" s="185"/>
      <c r="BV125" s="185"/>
      <c r="BW125" s="185"/>
      <c r="BX125" s="185"/>
      <c r="BY125" s="185"/>
      <c r="BZ125" s="185"/>
      <c r="CA125" s="185"/>
      <c r="CB125" s="185"/>
      <c r="CC125" s="185"/>
      <c r="CD125" s="185"/>
      <c r="CE125" s="185"/>
    </row>
    <row r="126" spans="2:83" ht="12.6" customHeight="1">
      <c r="B126" s="186"/>
      <c r="C126" s="214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185"/>
      <c r="AF126" s="185"/>
      <c r="AG126" s="185"/>
      <c r="AH126" s="185"/>
      <c r="AI126" s="185"/>
      <c r="AJ126" s="185"/>
      <c r="AK126" s="185"/>
      <c r="AL126" s="185"/>
      <c r="AM126" s="185"/>
      <c r="AN126" s="185"/>
      <c r="AO126" s="185"/>
      <c r="AP126" s="185"/>
      <c r="AQ126" s="185"/>
      <c r="AR126" s="185"/>
      <c r="AS126" s="185"/>
      <c r="AT126" s="185"/>
      <c r="AU126" s="185"/>
      <c r="AV126" s="185"/>
      <c r="AW126" s="185"/>
      <c r="AX126" s="185"/>
      <c r="AY126" s="185"/>
      <c r="AZ126" s="185"/>
      <c r="BA126" s="185"/>
      <c r="BB126" s="185"/>
      <c r="BC126" s="185"/>
      <c r="BD126" s="185"/>
      <c r="BE126" s="185"/>
      <c r="BF126" s="185"/>
      <c r="BG126" s="185"/>
      <c r="BH126" s="185"/>
      <c r="BI126" s="185"/>
      <c r="BJ126" s="185"/>
      <c r="BK126" s="185"/>
      <c r="BL126" s="185"/>
      <c r="BM126" s="185"/>
      <c r="BN126" s="185"/>
      <c r="BO126" s="185"/>
      <c r="BP126" s="185"/>
      <c r="BQ126" s="185"/>
      <c r="BR126" s="185"/>
      <c r="BS126" s="185"/>
      <c r="BT126" s="185"/>
      <c r="BU126" s="185"/>
      <c r="BV126" s="185"/>
      <c r="BW126" s="185"/>
      <c r="BX126" s="185"/>
      <c r="BY126" s="185"/>
      <c r="BZ126" s="185"/>
      <c r="CA126" s="185"/>
      <c r="CB126" s="185"/>
      <c r="CC126" s="185"/>
      <c r="CD126" s="185"/>
      <c r="CE126" s="185"/>
    </row>
    <row r="127" spans="2:83" ht="12.6" customHeight="1" thickBot="1">
      <c r="B127" s="197" t="s">
        <v>422</v>
      </c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  <c r="AC127" s="228"/>
      <c r="AD127" s="228"/>
      <c r="AE127" s="228"/>
      <c r="AF127" s="228"/>
      <c r="AG127" s="228"/>
      <c r="AH127" s="228"/>
      <c r="AI127" s="228"/>
      <c r="AJ127" s="228"/>
      <c r="AK127" s="228"/>
      <c r="AL127" s="228"/>
      <c r="AM127" s="228"/>
      <c r="AN127" s="228"/>
      <c r="AO127" s="228"/>
      <c r="AP127" s="228"/>
      <c r="AQ127" s="228"/>
      <c r="AR127" s="228"/>
      <c r="AS127" s="228"/>
      <c r="AT127" s="228"/>
      <c r="AU127" s="228"/>
      <c r="AV127" s="228"/>
      <c r="AW127" s="228"/>
      <c r="AX127" s="228"/>
      <c r="AY127" s="228"/>
      <c r="AZ127" s="228"/>
      <c r="BA127" s="228"/>
      <c r="BB127" s="228"/>
      <c r="BC127" s="228"/>
      <c r="BD127" s="228"/>
      <c r="BE127" s="228"/>
      <c r="BF127" s="228"/>
      <c r="BG127" s="228"/>
      <c r="BH127" s="228"/>
      <c r="BI127" s="228"/>
      <c r="BJ127" s="228"/>
      <c r="BK127" s="228"/>
      <c r="BL127" s="228"/>
      <c r="BM127" s="228"/>
      <c r="BN127" s="228"/>
      <c r="BO127" s="228"/>
      <c r="BP127" s="228"/>
      <c r="BQ127" s="228"/>
      <c r="BR127" s="228"/>
      <c r="BS127" s="228"/>
      <c r="BT127" s="228"/>
      <c r="BU127" s="228"/>
      <c r="BV127" s="228"/>
      <c r="BW127" s="228"/>
      <c r="BX127" s="228"/>
      <c r="BY127" s="228"/>
      <c r="BZ127" s="228"/>
      <c r="CA127" s="228"/>
      <c r="CB127" s="228"/>
      <c r="CC127" s="228"/>
      <c r="CD127" s="228"/>
      <c r="CE127" s="228"/>
    </row>
    <row r="128" spans="2:83" ht="12.6" customHeight="1">
      <c r="B128" s="233"/>
      <c r="C128" s="233"/>
      <c r="D128" s="233"/>
      <c r="E128" s="233"/>
      <c r="F128" s="233"/>
      <c r="G128" s="233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233"/>
      <c r="AW128" s="233"/>
      <c r="AX128" s="233"/>
      <c r="AY128" s="233"/>
      <c r="AZ128" s="233"/>
      <c r="BA128" s="233"/>
      <c r="BB128" s="233"/>
      <c r="BC128" s="233"/>
      <c r="BD128" s="233"/>
      <c r="BE128" s="233"/>
      <c r="BF128" s="233"/>
      <c r="BG128" s="233"/>
      <c r="BH128" s="233"/>
      <c r="BI128" s="233"/>
      <c r="BJ128" s="233"/>
      <c r="BK128" s="233"/>
      <c r="BL128" s="233"/>
      <c r="BM128" s="233"/>
      <c r="BN128" s="233"/>
      <c r="BO128" s="233"/>
      <c r="BP128" s="233"/>
      <c r="BQ128" s="233"/>
      <c r="BR128" s="233"/>
      <c r="BS128" s="233"/>
      <c r="BT128" s="233"/>
      <c r="BU128" s="233"/>
      <c r="BV128" s="233"/>
      <c r="BW128" s="233"/>
      <c r="BX128" s="233"/>
      <c r="BY128" s="233"/>
      <c r="BZ128" s="233"/>
      <c r="CA128" s="233"/>
      <c r="CB128" s="233"/>
      <c r="CC128" s="233"/>
      <c r="CD128" s="233"/>
      <c r="CE128" s="233"/>
    </row>
    <row r="129" spans="2:83" ht="15" customHeight="1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</row>
    <row r="130" spans="2:83" ht="12.6" customHeight="1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</row>
    <row r="131" spans="2:83" ht="19.350000000000001" customHeight="1" thickBot="1">
      <c r="B131" s="643"/>
      <c r="C131" s="643"/>
      <c r="D131" s="648"/>
      <c r="E131" s="648"/>
      <c r="F131" s="648"/>
      <c r="G131" s="648"/>
      <c r="H131" s="648"/>
      <c r="I131" s="648"/>
      <c r="J131" s="648"/>
      <c r="K131" s="648"/>
      <c r="L131" s="648"/>
      <c r="M131" s="648"/>
      <c r="N131" s="648"/>
      <c r="O131" s="648"/>
      <c r="P131" s="648"/>
      <c r="Q131" s="648"/>
      <c r="R131" s="643"/>
      <c r="S131" s="648"/>
      <c r="T131" s="648"/>
      <c r="U131" s="648"/>
      <c r="V131" s="648"/>
      <c r="W131" s="643"/>
      <c r="X131" s="648"/>
      <c r="Y131" s="648"/>
      <c r="Z131" s="648"/>
      <c r="AA131" s="648"/>
      <c r="AB131" s="643"/>
      <c r="AC131" s="648"/>
      <c r="AD131" s="648"/>
      <c r="AE131" s="648"/>
      <c r="AF131" s="643"/>
      <c r="AG131" s="643"/>
      <c r="AH131" s="643"/>
      <c r="AI131" s="643"/>
      <c r="AJ131" s="643"/>
      <c r="AK131" s="643"/>
      <c r="AL131" s="643"/>
      <c r="AM131" s="643"/>
      <c r="AN131" s="643"/>
      <c r="AO131" s="643"/>
      <c r="AP131" s="643"/>
      <c r="AQ131" s="643"/>
      <c r="AR131" s="648"/>
      <c r="AS131" s="648"/>
      <c r="AT131" s="648"/>
      <c r="AU131" s="648"/>
      <c r="AV131" s="643"/>
      <c r="AW131" s="648"/>
      <c r="AX131" s="648"/>
      <c r="AY131" s="648"/>
      <c r="AZ131" s="648"/>
      <c r="BA131" s="643"/>
      <c r="BB131" s="648"/>
      <c r="BC131" s="648"/>
      <c r="BD131" s="648"/>
      <c r="BE131" s="648"/>
      <c r="BF131" s="643"/>
      <c r="BG131" s="648"/>
      <c r="BH131" s="648"/>
      <c r="BI131" s="648"/>
      <c r="BJ131" s="648"/>
      <c r="BK131" s="643"/>
      <c r="BL131" s="648"/>
      <c r="BM131" s="648"/>
      <c r="BN131" s="648"/>
      <c r="BO131" s="648"/>
      <c r="BP131" s="643"/>
      <c r="BQ131" s="648"/>
      <c r="BR131" s="648"/>
      <c r="BS131" s="648"/>
      <c r="BT131" s="648"/>
      <c r="BU131" s="643"/>
      <c r="BV131" s="648"/>
      <c r="BW131" s="648"/>
      <c r="BX131" s="648"/>
      <c r="BY131" s="648"/>
      <c r="BZ131" s="643"/>
      <c r="CA131" s="648"/>
      <c r="CB131" s="648"/>
      <c r="CC131" s="648"/>
      <c r="CD131" s="648"/>
      <c r="CE131" s="643"/>
    </row>
    <row r="132" spans="2:83" ht="17.649999999999999">
      <c r="B132" s="403" t="s">
        <v>166</v>
      </c>
      <c r="C132" s="404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449"/>
      <c r="S132" s="18"/>
      <c r="T132" s="18"/>
      <c r="U132" s="18"/>
      <c r="V132" s="18"/>
      <c r="W132" s="449"/>
      <c r="X132" s="18"/>
      <c r="Y132" s="18"/>
      <c r="Z132" s="18"/>
      <c r="AA132" s="18"/>
      <c r="AB132" s="449"/>
      <c r="AC132" s="18"/>
      <c r="AD132" s="18"/>
      <c r="AE132" s="18"/>
      <c r="AF132" s="449"/>
      <c r="AG132" s="449"/>
      <c r="AH132" s="449"/>
      <c r="AI132" s="449"/>
      <c r="AJ132" s="449"/>
      <c r="AK132" s="449"/>
      <c r="AL132" s="449"/>
      <c r="AM132" s="449"/>
      <c r="AN132" s="449"/>
      <c r="AO132" s="449"/>
      <c r="AP132" s="449"/>
      <c r="AQ132" s="449"/>
      <c r="AR132" s="18"/>
      <c r="AS132" s="18"/>
      <c r="AT132" s="18"/>
      <c r="AU132" s="18"/>
      <c r="AV132" s="449"/>
      <c r="AW132" s="18"/>
      <c r="AX132" s="18"/>
      <c r="AY132" s="18"/>
      <c r="AZ132" s="18"/>
      <c r="BA132" s="449"/>
      <c r="BB132" s="18"/>
      <c r="BC132" s="18"/>
      <c r="BD132" s="18"/>
      <c r="BE132" s="18"/>
      <c r="BF132" s="449"/>
      <c r="BG132" s="18"/>
      <c r="BH132" s="18"/>
      <c r="BI132" s="18"/>
      <c r="BJ132" s="18"/>
      <c r="BK132" s="449"/>
      <c r="BL132" s="18"/>
      <c r="BM132" s="18"/>
      <c r="BN132" s="18"/>
      <c r="BO132" s="18"/>
      <c r="BP132" s="449"/>
      <c r="BQ132" s="18"/>
      <c r="BR132" s="18"/>
      <c r="BS132" s="18"/>
      <c r="BT132" s="18"/>
      <c r="BU132" s="449"/>
      <c r="BV132" s="18"/>
      <c r="BW132" s="18"/>
      <c r="BX132" s="18"/>
      <c r="BY132" s="18"/>
      <c r="BZ132" s="449"/>
      <c r="CA132" s="18"/>
      <c r="CB132" s="18"/>
      <c r="CC132" s="18"/>
      <c r="CD132" s="18"/>
      <c r="CE132" s="449"/>
    </row>
    <row r="133" spans="2:83" ht="12.6" customHeight="1">
      <c r="B133" s="407" t="s">
        <v>18</v>
      </c>
      <c r="C133" s="407"/>
      <c r="D133" s="206"/>
      <c r="E133" s="206"/>
      <c r="F133" s="206"/>
      <c r="G133" s="206"/>
      <c r="H133" s="206"/>
      <c r="I133" s="206"/>
      <c r="J133" s="206"/>
      <c r="K133" s="206"/>
      <c r="L133" s="206"/>
      <c r="M133" s="206"/>
      <c r="N133" s="206"/>
      <c r="O133" s="206"/>
      <c r="P133" s="206"/>
      <c r="Q133" s="206"/>
      <c r="R133" s="407"/>
      <c r="S133" s="206"/>
      <c r="T133" s="206"/>
      <c r="U133" s="206"/>
      <c r="V133" s="206"/>
      <c r="W133" s="407"/>
      <c r="X133" s="206"/>
      <c r="Y133" s="206"/>
      <c r="Z133" s="206"/>
      <c r="AA133" s="206"/>
      <c r="AB133" s="407"/>
      <c r="AC133" s="206"/>
      <c r="AD133" s="206"/>
      <c r="AE133" s="206"/>
      <c r="AF133" s="407"/>
      <c r="AG133" s="408"/>
      <c r="AH133" s="407"/>
      <c r="AI133" s="407"/>
      <c r="AJ133" s="407"/>
      <c r="AK133" s="407"/>
      <c r="AL133" s="408"/>
      <c r="AM133" s="407"/>
      <c r="AN133" s="407"/>
      <c r="AO133" s="407"/>
      <c r="AP133" s="407"/>
      <c r="AQ133" s="408"/>
      <c r="AR133" s="206"/>
      <c r="AS133" s="206"/>
      <c r="AT133" s="206"/>
      <c r="AU133" s="206"/>
      <c r="AV133" s="408"/>
      <c r="AW133" s="206"/>
      <c r="AX133" s="206"/>
      <c r="AY133" s="206"/>
      <c r="AZ133" s="206"/>
      <c r="BA133" s="408"/>
      <c r="BB133" s="206"/>
      <c r="BC133" s="206"/>
      <c r="BD133" s="206"/>
      <c r="BE133" s="206"/>
      <c r="BF133" s="408"/>
      <c r="BG133" s="206"/>
      <c r="BH133" s="206"/>
      <c r="BI133" s="206"/>
      <c r="BJ133" s="206"/>
      <c r="BK133" s="408"/>
      <c r="BL133" s="206"/>
      <c r="BM133" s="206"/>
      <c r="BN133" s="206"/>
      <c r="BO133" s="206"/>
      <c r="BP133" s="408"/>
      <c r="BQ133" s="206"/>
      <c r="BR133" s="206"/>
      <c r="BS133" s="206"/>
      <c r="BT133" s="206"/>
      <c r="BU133" s="408"/>
      <c r="BV133" s="206"/>
      <c r="BW133" s="206"/>
      <c r="BX133" s="206"/>
      <c r="BY133" s="206"/>
      <c r="BZ133" s="408"/>
      <c r="CA133" s="206"/>
      <c r="CB133" s="206"/>
      <c r="CC133" s="206"/>
      <c r="CD133" s="206"/>
      <c r="CE133" s="408"/>
    </row>
    <row r="134" spans="2:83" ht="12.6" customHeight="1">
      <c r="B134" s="407"/>
      <c r="C134" s="407"/>
      <c r="D134" s="208" t="str">
        <f>+D5</f>
        <v>2012A</v>
      </c>
      <c r="E134" s="209"/>
      <c r="F134" s="210"/>
      <c r="G134" s="210"/>
      <c r="H134" s="211" t="s">
        <v>239</v>
      </c>
      <c r="I134" s="208" t="str">
        <f>+I5</f>
        <v>2013A</v>
      </c>
      <c r="J134" s="209"/>
      <c r="K134" s="210"/>
      <c r="L134" s="210"/>
      <c r="M134" s="211" t="s">
        <v>239</v>
      </c>
      <c r="N134" s="208" t="str">
        <f>+N5</f>
        <v>2014A</v>
      </c>
      <c r="O134" s="209"/>
      <c r="P134" s="210"/>
      <c r="Q134" s="210"/>
      <c r="R134" s="408" t="str">
        <f>+R5</f>
        <v>Year</v>
      </c>
      <c r="S134" s="208" t="str">
        <f>+S5</f>
        <v>2015A</v>
      </c>
      <c r="T134" s="209"/>
      <c r="U134" s="210"/>
      <c r="V134" s="210"/>
      <c r="W134" s="470" t="str">
        <f>+W5</f>
        <v>Year</v>
      </c>
      <c r="X134" s="208" t="str">
        <f>+X5</f>
        <v>2016A</v>
      </c>
      <c r="Y134" s="209"/>
      <c r="Z134" s="210"/>
      <c r="AA134" s="210"/>
      <c r="AB134" s="470" t="str">
        <f>+AB5</f>
        <v>Year</v>
      </c>
      <c r="AC134" s="208" t="str">
        <f>+AC5</f>
        <v>2017A</v>
      </c>
      <c r="AD134" s="209"/>
      <c r="AE134" s="210"/>
      <c r="AF134" s="410"/>
      <c r="AG134" s="470" t="str">
        <f>+AG5</f>
        <v>Year</v>
      </c>
      <c r="AH134" s="411" t="str">
        <f>+AH5</f>
        <v>2018A</v>
      </c>
      <c r="AI134" s="412"/>
      <c r="AJ134" s="410"/>
      <c r="AK134" s="410"/>
      <c r="AL134" s="470" t="str">
        <f>+AL5</f>
        <v>Year</v>
      </c>
      <c r="AM134" s="411" t="str">
        <f>+AM5</f>
        <v>2019A</v>
      </c>
      <c r="AN134" s="412"/>
      <c r="AO134" s="410"/>
      <c r="AP134" s="410"/>
      <c r="AQ134" s="470" t="str">
        <f>+AQ5</f>
        <v>Year</v>
      </c>
      <c r="AR134" s="208" t="str">
        <f>+AR5</f>
        <v>2020A</v>
      </c>
      <c r="AS134" s="209"/>
      <c r="AT134" s="210"/>
      <c r="AU134" s="210"/>
      <c r="AV134" s="470" t="str">
        <f>+AV5</f>
        <v>Year</v>
      </c>
      <c r="AW134" s="208" t="str">
        <f>+AW5</f>
        <v>2021A</v>
      </c>
      <c r="AX134" s="209"/>
      <c r="AY134" s="210"/>
      <c r="AZ134" s="210"/>
      <c r="BA134" s="470" t="str">
        <f>+BA5</f>
        <v>Year</v>
      </c>
      <c r="BB134" s="208" t="str">
        <f>+BB5</f>
        <v>2022A</v>
      </c>
      <c r="BC134" s="209"/>
      <c r="BD134" s="210"/>
      <c r="BE134" s="210"/>
      <c r="BF134" s="470" t="str">
        <f>+BF5</f>
        <v>Year</v>
      </c>
      <c r="BG134" s="208" t="str">
        <f>+BG5</f>
        <v>2023A</v>
      </c>
      <c r="BH134" s="209"/>
      <c r="BI134" s="210"/>
      <c r="BJ134" s="210"/>
      <c r="BK134" s="470" t="str">
        <f>+BK5</f>
        <v>Year</v>
      </c>
      <c r="BL134" s="208" t="str">
        <f>+BL5</f>
        <v>2024A</v>
      </c>
      <c r="BM134" s="209"/>
      <c r="BN134" s="210"/>
      <c r="BO134" s="210"/>
      <c r="BP134" s="470" t="str">
        <f>+BP5</f>
        <v>Year</v>
      </c>
      <c r="BQ134" s="208" t="str">
        <f>+BQ5</f>
        <v>2025A</v>
      </c>
      <c r="BR134" s="209"/>
      <c r="BS134" s="210"/>
      <c r="BT134" s="210"/>
      <c r="BU134" s="470" t="str">
        <f>+BU5</f>
        <v>Year</v>
      </c>
      <c r="BV134" s="208" t="str">
        <f>+BV5</f>
        <v>2026E</v>
      </c>
      <c r="BW134" s="209"/>
      <c r="BX134" s="210"/>
      <c r="BY134" s="210"/>
      <c r="BZ134" s="470" t="str">
        <f>+BZ5</f>
        <v>Year</v>
      </c>
      <c r="CA134" s="208" t="str">
        <f>+CA5</f>
        <v>2027E</v>
      </c>
      <c r="CB134" s="209"/>
      <c r="CC134" s="210"/>
      <c r="CD134" s="210"/>
      <c r="CE134" s="470" t="str">
        <f>+CE5</f>
        <v>Year</v>
      </c>
    </row>
    <row r="135" spans="2:83" ht="12.6" customHeight="1">
      <c r="B135" s="407"/>
      <c r="C135" s="408"/>
      <c r="D135" s="211" t="str">
        <f>+D6</f>
        <v>1Q-Mar 12A</v>
      </c>
      <c r="E135" s="211" t="str">
        <f>+E6</f>
        <v>2Q-Jun 12A</v>
      </c>
      <c r="F135" s="211" t="str">
        <f>+F6</f>
        <v>3Q-Sep 12A</v>
      </c>
      <c r="G135" s="211" t="str">
        <f>+G6</f>
        <v>4Q-Dec 12A</v>
      </c>
      <c r="H135" s="211" t="str">
        <f>+H6</f>
        <v>2012A</v>
      </c>
      <c r="I135" s="211" t="str">
        <f>+I6</f>
        <v>1Q-Mar 13A</v>
      </c>
      <c r="J135" s="211" t="str">
        <f>+J6</f>
        <v>2Q-Jun 13A</v>
      </c>
      <c r="K135" s="211" t="str">
        <f>+K6</f>
        <v>3Q-Sep 13A</v>
      </c>
      <c r="L135" s="211" t="str">
        <f>+L6</f>
        <v>4Q-Dec 13A</v>
      </c>
      <c r="M135" s="211" t="str">
        <f>+M6</f>
        <v>2013A</v>
      </c>
      <c r="N135" s="211" t="str">
        <f>+N6</f>
        <v>1Q-Mar 14A</v>
      </c>
      <c r="O135" s="211" t="str">
        <f>+O6</f>
        <v>2Q-Jun 14A</v>
      </c>
      <c r="P135" s="211" t="str">
        <f>+P6</f>
        <v>3Q-Sep 14A</v>
      </c>
      <c r="Q135" s="211" t="str">
        <f>+Q6</f>
        <v>4Q-Dec 14A</v>
      </c>
      <c r="R135" s="408" t="str">
        <f>+R6</f>
        <v>2014A</v>
      </c>
      <c r="S135" s="211" t="str">
        <f>+S6</f>
        <v>1Q-Mar 15A</v>
      </c>
      <c r="T135" s="211" t="str">
        <f>+T6</f>
        <v>2Q-Jun 15A</v>
      </c>
      <c r="U135" s="211" t="str">
        <f>+U6</f>
        <v>3Q-Sep 15A</v>
      </c>
      <c r="V135" s="211" t="str">
        <f>+V6</f>
        <v>4Q-Dec 15A</v>
      </c>
      <c r="W135" s="470" t="str">
        <f>+W6</f>
        <v>2015A</v>
      </c>
      <c r="X135" s="211" t="str">
        <f>+X6</f>
        <v>1Q-Mar 16A</v>
      </c>
      <c r="Y135" s="211" t="str">
        <f>+Y6</f>
        <v>2Q-Jun 16A</v>
      </c>
      <c r="Z135" s="211" t="str">
        <f>+Z6</f>
        <v>3Q-Sep 16A</v>
      </c>
      <c r="AA135" s="211" t="str">
        <f>+AA6</f>
        <v>4Q-Dec 16A</v>
      </c>
      <c r="AB135" s="470" t="str">
        <f>+AB6</f>
        <v>2016A</v>
      </c>
      <c r="AC135" s="211" t="str">
        <f>+AC6</f>
        <v>1Q-Mar 17A</v>
      </c>
      <c r="AD135" s="211" t="str">
        <f>+AD6</f>
        <v>2Q-Jun 17A</v>
      </c>
      <c r="AE135" s="211" t="str">
        <f>+AE6</f>
        <v>3Q-Sep 17A</v>
      </c>
      <c r="AF135" s="408" t="str">
        <f>+AF6</f>
        <v>4Q-Dec 17A</v>
      </c>
      <c r="AG135" s="470" t="str">
        <f>+AG6</f>
        <v>2017A</v>
      </c>
      <c r="AH135" s="408" t="str">
        <f>+AH6</f>
        <v>1Q-Mar 18A</v>
      </c>
      <c r="AI135" s="408" t="str">
        <f>+AI6</f>
        <v>2Q-Jun 18A</v>
      </c>
      <c r="AJ135" s="408" t="str">
        <f>+AJ6</f>
        <v>3Q-Sep 18A</v>
      </c>
      <c r="AK135" s="408" t="str">
        <f>+AK6</f>
        <v>4Q-Dec 18A</v>
      </c>
      <c r="AL135" s="470" t="str">
        <f>+AL6</f>
        <v>2018A</v>
      </c>
      <c r="AM135" s="408" t="str">
        <f>+AM6</f>
        <v>1Q-Mar 19A</v>
      </c>
      <c r="AN135" s="408" t="str">
        <f>+AN6</f>
        <v>2Q-Jun 19A</v>
      </c>
      <c r="AO135" s="408" t="str">
        <f>+AO6</f>
        <v>3Q-Sep 19A</v>
      </c>
      <c r="AP135" s="408" t="str">
        <f>+AP6</f>
        <v>4Q-Dec 19A</v>
      </c>
      <c r="AQ135" s="470" t="str">
        <f>+AQ6</f>
        <v>2019A</v>
      </c>
      <c r="AR135" s="211" t="str">
        <f>+AR6</f>
        <v>1Q-Mar 20A</v>
      </c>
      <c r="AS135" s="211" t="str">
        <f>+AS6</f>
        <v>2Q-Jun 20A</v>
      </c>
      <c r="AT135" s="211" t="str">
        <f>+AT6</f>
        <v>3Q-Sep 20A</v>
      </c>
      <c r="AU135" s="211" t="str">
        <f>+AU6</f>
        <v>4Q-Dec 20A</v>
      </c>
      <c r="AV135" s="470" t="str">
        <f>+AV6</f>
        <v>2020A</v>
      </c>
      <c r="AW135" s="211" t="str">
        <f>+AW6</f>
        <v>1Q-Mar 21A</v>
      </c>
      <c r="AX135" s="211" t="str">
        <f>+AX6</f>
        <v>2Q-Jun 21A</v>
      </c>
      <c r="AY135" s="211" t="str">
        <f>+AY6</f>
        <v>3Q-Sep 21A</v>
      </c>
      <c r="AZ135" s="211" t="str">
        <f>+AZ6</f>
        <v>4Q-Dec 21A</v>
      </c>
      <c r="BA135" s="470" t="str">
        <f>+BA6</f>
        <v>2021A</v>
      </c>
      <c r="BB135" s="211" t="str">
        <f>+BB6</f>
        <v>1Q-Mar 22A</v>
      </c>
      <c r="BC135" s="211" t="str">
        <f>+BC6</f>
        <v>2Q-Jun 22A</v>
      </c>
      <c r="BD135" s="211" t="str">
        <f>+BD6</f>
        <v>3Q-Sep 22A</v>
      </c>
      <c r="BE135" s="211" t="str">
        <f>+BE6</f>
        <v>4Q-Dec 22A</v>
      </c>
      <c r="BF135" s="470" t="str">
        <f>+BF6</f>
        <v>2022A</v>
      </c>
      <c r="BG135" s="211" t="str">
        <f>+BG6</f>
        <v>1Q-Mar 23A</v>
      </c>
      <c r="BH135" s="211" t="str">
        <f>+BH6</f>
        <v>2Q-Jun 23A</v>
      </c>
      <c r="BI135" s="211" t="str">
        <f>+BI6</f>
        <v>3Q-Sep 23A</v>
      </c>
      <c r="BJ135" s="211" t="str">
        <f>+BJ6</f>
        <v>4Q-Dec 23A</v>
      </c>
      <c r="BK135" s="470" t="str">
        <f>+BK6</f>
        <v>2023A</v>
      </c>
      <c r="BL135" s="211" t="str">
        <f>+BL6</f>
        <v>1Q-Mar 24A</v>
      </c>
      <c r="BM135" s="211" t="str">
        <f>+BM6</f>
        <v>2Q-Jun 24A</v>
      </c>
      <c r="BN135" s="211" t="str">
        <f>+BN6</f>
        <v>3Q-Sep 24A</v>
      </c>
      <c r="BO135" s="211" t="str">
        <f>+BO6</f>
        <v>4Q-Dec 24A</v>
      </c>
      <c r="BP135" s="470" t="str">
        <f>+BP6</f>
        <v>2024A</v>
      </c>
      <c r="BQ135" s="211" t="str">
        <f>+BQ6</f>
        <v>1Q-Mar 25A</v>
      </c>
      <c r="BR135" s="211" t="str">
        <f>+BR6</f>
        <v>2Q-Jun 25A</v>
      </c>
      <c r="BS135" s="211" t="str">
        <f>+BS6</f>
        <v>3Q-Sep 25A</v>
      </c>
      <c r="BT135" s="211" t="str">
        <f>+BT6</f>
        <v>4Q-Dec 25A</v>
      </c>
      <c r="BU135" s="470" t="str">
        <f>+BU6</f>
        <v>2025A</v>
      </c>
      <c r="BV135" s="211" t="str">
        <f>+BV6</f>
        <v>1Q-Mar 26E</v>
      </c>
      <c r="BW135" s="211" t="str">
        <f>+BW6</f>
        <v>2Q-Jun 26E</v>
      </c>
      <c r="BX135" s="211" t="str">
        <f>+BX6</f>
        <v>3Q-Sep 26E</v>
      </c>
      <c r="BY135" s="211" t="str">
        <f>+BY6</f>
        <v>4Q-Dec 26E</v>
      </c>
      <c r="BZ135" s="470" t="str">
        <f>+BZ6</f>
        <v>2026E</v>
      </c>
      <c r="CA135" s="211" t="str">
        <f>+CA6</f>
        <v>1Q-Mar 27E</v>
      </c>
      <c r="CB135" s="211" t="str">
        <f>+CB6</f>
        <v>2Q-Jun 27E</v>
      </c>
      <c r="CC135" s="211" t="str">
        <f>+CC6</f>
        <v>3Q-Sep 27E</v>
      </c>
      <c r="CD135" s="211" t="str">
        <f>+CD6</f>
        <v>4Q-Dec 27E</v>
      </c>
      <c r="CE135" s="470" t="str">
        <f>+CE6</f>
        <v>2027E</v>
      </c>
    </row>
    <row r="136" spans="2:83" ht="13.15" hidden="1">
      <c r="B136" s="413" t="s">
        <v>347</v>
      </c>
      <c r="C136" s="415"/>
      <c r="D136" s="180"/>
      <c r="E136" s="180"/>
      <c r="F136" s="180"/>
      <c r="G136" s="180"/>
      <c r="H136" s="180"/>
      <c r="I136" s="180" t="e">
        <f t="shared" ref="I136:AV136" si="429">+(I$7/D$7)-1</f>
        <v>#DIV/0!</v>
      </c>
      <c r="J136" s="180" t="e">
        <f t="shared" si="429"/>
        <v>#DIV/0!</v>
      </c>
      <c r="K136" s="180" t="e">
        <f t="shared" si="429"/>
        <v>#DIV/0!</v>
      </c>
      <c r="L136" s="180" t="e">
        <f t="shared" si="429"/>
        <v>#DIV/0!</v>
      </c>
      <c r="M136" s="180">
        <f t="shared" si="429"/>
        <v>0.175592885375494</v>
      </c>
      <c r="N136" s="180" t="e">
        <f t="shared" si="429"/>
        <v>#DIV/0!</v>
      </c>
      <c r="O136" s="180" t="e">
        <f t="shared" si="429"/>
        <v>#DIV/0!</v>
      </c>
      <c r="P136" s="180" t="e">
        <f t="shared" si="429"/>
        <v>#DIV/0!</v>
      </c>
      <c r="Q136" s="180" t="e">
        <f t="shared" si="429"/>
        <v>#DIV/0!</v>
      </c>
      <c r="R136" s="450">
        <f t="shared" si="429"/>
        <v>0.23746322602336734</v>
      </c>
      <c r="S136" s="180">
        <f t="shared" si="429"/>
        <v>0.29228568926768039</v>
      </c>
      <c r="T136" s="180">
        <f t="shared" si="429"/>
        <v>0.20198503588334105</v>
      </c>
      <c r="U136" s="180">
        <f t="shared" si="429"/>
        <v>0.27598284100781934</v>
      </c>
      <c r="V136" s="180">
        <f t="shared" si="429"/>
        <v>0.16476500011525252</v>
      </c>
      <c r="W136" s="525">
        <f t="shared" si="429"/>
        <v>0.23054455546423402</v>
      </c>
      <c r="X136" s="180">
        <f t="shared" si="429"/>
        <v>0.12433653303218528</v>
      </c>
      <c r="Y136" s="180">
        <f t="shared" si="429"/>
        <v>0.28717701161106746</v>
      </c>
      <c r="Z136" s="180">
        <f t="shared" si="429"/>
        <v>0.19709768708640985</v>
      </c>
      <c r="AA136" s="180">
        <f t="shared" si="429"/>
        <v>0.15101620787239511</v>
      </c>
      <c r="AB136" s="525">
        <f t="shared" si="429"/>
        <v>0.18603239089875356</v>
      </c>
      <c r="AC136" s="180">
        <f t="shared" si="429"/>
        <v>0.16916432302129358</v>
      </c>
      <c r="AD136" s="180">
        <f t="shared" si="429"/>
        <v>0.18424065374442389</v>
      </c>
      <c r="AE136" s="180">
        <f t="shared" si="429"/>
        <v>0.18945965161749023</v>
      </c>
      <c r="AF136" s="450">
        <f t="shared" si="429"/>
        <v>0.27117361851380628</v>
      </c>
      <c r="AG136" s="525">
        <f t="shared" si="429"/>
        <v>0.20564636235013767</v>
      </c>
      <c r="AH136" s="450">
        <f t="shared" si="429"/>
        <v>0.191525918798646</v>
      </c>
      <c r="AI136" s="450">
        <f t="shared" si="429"/>
        <v>0.19867991199413293</v>
      </c>
      <c r="AJ136" s="450">
        <f t="shared" si="429"/>
        <v>0.12604790866570026</v>
      </c>
      <c r="AK136" s="450">
        <f t="shared" si="429"/>
        <v>0.13221251386371624</v>
      </c>
      <c r="AL136" s="525">
        <f t="shared" si="429"/>
        <v>0.15933989577301677</v>
      </c>
      <c r="AM136" s="450">
        <f t="shared" si="429"/>
        <v>0.2281680798292669</v>
      </c>
      <c r="AN136" s="450">
        <f t="shared" si="429"/>
        <v>0.12750987262917857</v>
      </c>
      <c r="AO136" s="450">
        <f t="shared" si="429"/>
        <v>0.146136900496324</v>
      </c>
      <c r="AP136" s="450">
        <f t="shared" si="429"/>
        <v>0.15318544003631618</v>
      </c>
      <c r="AQ136" s="525">
        <f t="shared" si="429"/>
        <v>0.16258278476460664</v>
      </c>
      <c r="AR136" s="180">
        <f t="shared" si="429"/>
        <v>0.1265806436463115</v>
      </c>
      <c r="AS136" s="180">
        <f t="shared" si="429"/>
        <v>6.9247465653750284E-2</v>
      </c>
      <c r="AT136" s="180">
        <f t="shared" si="429"/>
        <v>8.3991385498923155E-2</v>
      </c>
      <c r="AU136" s="180">
        <f t="shared" si="429"/>
        <v>0.11892429453445486</v>
      </c>
      <c r="AV136" s="525">
        <f t="shared" si="429"/>
        <v>0.10061434033595384</v>
      </c>
      <c r="AW136" s="180">
        <f t="shared" ref="AW136" si="430">+(AW$7/AR$7)-1</f>
        <v>6.4699016174754043E-2</v>
      </c>
      <c r="AX136" s="180">
        <f t="shared" ref="AX136" si="431">+(AX$7/AS$7)-1</f>
        <v>0.25700972307124492</v>
      </c>
      <c r="AY136" s="180">
        <f t="shared" ref="AY136" si="432">+(AY$7/AT$7)-1</f>
        <v>0.22081820123905138</v>
      </c>
      <c r="AZ136" s="180">
        <f t="shared" ref="AZ136" si="433">+(AZ$7/AU$7)-1</f>
        <v>0.2046161537606932</v>
      </c>
      <c r="BA136" s="525">
        <f t="shared" ref="BA136" si="434">+(BA$7/AV$7)-1</f>
        <v>0.18544830008977709</v>
      </c>
      <c r="BB136" s="180">
        <f t="shared" ref="BB136" si="435">+(BB$7/AW$7)-1</f>
        <v>0.19892325763508212</v>
      </c>
      <c r="BC136" s="180">
        <f t="shared" ref="BC136" si="436">+(BC$7/AX$7)-1</f>
        <v>0.18076047860236355</v>
      </c>
      <c r="BD136" s="180">
        <f t="shared" ref="BD136" si="437">+(BD$7/AY$7)-1</f>
        <v>0.12677941781211444</v>
      </c>
      <c r="BE136" s="180">
        <f t="shared" ref="BE136" si="438">+(BE$7/AZ$7)-1</f>
        <v>0.11925787584637959</v>
      </c>
      <c r="BF136" s="525">
        <f t="shared" ref="BF136" si="439">+(BF$7/BA$7)-1</f>
        <v>0.15372406980572939</v>
      </c>
      <c r="BG136" s="180">
        <f t="shared" ref="BG136" si="440">+(BG$7/BB$7)-1</f>
        <v>8.9719305693897855E-2</v>
      </c>
      <c r="BH136" s="180">
        <f t="shared" ref="BH136" si="441">+(BH$7/BC$7)-1</f>
        <v>0.11232942712380711</v>
      </c>
      <c r="BI136" s="180">
        <f t="shared" ref="BI136" si="442">+(BI$7/BD$7)-1</f>
        <v>0.13935069069675343</v>
      </c>
      <c r="BJ136" s="180">
        <f t="shared" ref="BJ136" si="443">+(BJ$7/BE$7)-1</f>
        <v>0.17186019364142013</v>
      </c>
      <c r="BK136" s="525">
        <f t="shared" ref="BK136" si="444">+(BK$7/BF$7)-1</f>
        <v>0.1301764339899425</v>
      </c>
      <c r="BL136" s="180">
        <f t="shared" ref="BL136" si="445">+(BL$7/BG$7)-1</f>
        <v>8.3875898135175486E-2</v>
      </c>
      <c r="BM136" s="180">
        <f t="shared" ref="BM136" si="446">+(BM$7/BH$7)-1</f>
        <v>-1.5544331034868186E-2</v>
      </c>
      <c r="BN136" s="180">
        <f t="shared" ref="BN136" si="447">+(BN$7/BI$7)-1</f>
        <v>0.1405652597646001</v>
      </c>
      <c r="BO136" s="180">
        <f t="shared" ref="BO136" si="448">+(BO$7/BJ$7)-1</f>
        <v>0.12990308101583281</v>
      </c>
      <c r="BP136" s="525">
        <f t="shared" ref="BP136" si="449">+(BP$7/BK$7)-1</f>
        <v>8.7145221272161288E-2</v>
      </c>
      <c r="BQ136" s="180">
        <f t="shared" ref="BQ136" si="450">+(BQ$7/BL$7)-1</f>
        <v>7.3272227060954265E-2</v>
      </c>
      <c r="BR136" s="180">
        <f t="shared" ref="BR136" si="451">+(BR$7/BM$7)-1</f>
        <v>8.0155272009878376E-2</v>
      </c>
      <c r="BS136" s="180">
        <f t="shared" ref="BS136" si="452">+(BS$7/BN$7)-1</f>
        <v>0.11372898167955348</v>
      </c>
      <c r="BT136" s="180">
        <f t="shared" ref="BT136" si="453">+(BT$7/BO$7)-1</f>
        <v>6.278166439347177E-2</v>
      </c>
      <c r="BU136" s="525">
        <f t="shared" ref="BU136" si="454">+(BU$7/BP$7)-1</f>
        <v>8.2126359442580066E-2</v>
      </c>
      <c r="BV136" s="180">
        <f t="shared" ref="BV136" si="455">+(BV$7/BQ$7)-1</f>
        <v>8.544906805095831E-2</v>
      </c>
      <c r="BW136" s="180">
        <f t="shared" ref="BW136" si="456">+(BW$7/BR$7)-1</f>
        <v>8.0000000000000515E-2</v>
      </c>
      <c r="BX136" s="180">
        <f t="shared" ref="BX136" si="457">+(BX$7/BS$7)-1</f>
        <v>7.5442761565988725E-2</v>
      </c>
      <c r="BY136" s="180">
        <f t="shared" ref="BY136" si="458">+(BY$7/BT$7)-1</f>
        <v>6.1660079147819014E-2</v>
      </c>
      <c r="BZ136" s="525">
        <f t="shared" ref="BZ136" si="459">+(BZ$7/BU$7)-1</f>
        <v>7.4616718780186053E-2</v>
      </c>
      <c r="CA136" s="180">
        <f t="shared" ref="CA136" si="460">+(CA$7/BV$7)-1</f>
        <v>6.8393606523006412E-2</v>
      </c>
      <c r="CB136" s="180">
        <f t="shared" ref="CB136" si="461">+(CB$7/BW$7)-1</f>
        <v>6.9999999999998952E-2</v>
      </c>
      <c r="CC136" s="180">
        <f t="shared" ref="CC136" si="462">+(CC$7/BX$7)-1</f>
        <v>6.0889275577199697E-2</v>
      </c>
      <c r="CD136" s="180">
        <f t="shared" ref="CD136" si="463">+(CD$7/BY$7)-1</f>
        <v>6.1379673550737479E-2</v>
      </c>
      <c r="CE136" s="525">
        <f t="shared" ref="CE136" si="464">+(CE$7/BZ$7)-1</f>
        <v>6.4709967865604456E-2</v>
      </c>
    </row>
    <row r="137" spans="2:83" s="10" customFormat="1" ht="13.15">
      <c r="B137" s="415" t="s">
        <v>157</v>
      </c>
      <c r="C137" s="415"/>
      <c r="D137" s="180"/>
      <c r="E137" s="180"/>
      <c r="F137" s="180"/>
      <c r="G137" s="180"/>
      <c r="H137" s="180"/>
      <c r="I137" s="180">
        <f>+(I$9/D$9)-1</f>
        <v>0.17422490680005653</v>
      </c>
      <c r="J137" s="180">
        <f t="shared" ref="J137:AL137" si="465">+(J$9/E$9)-1</f>
        <v>0.18481297881928804</v>
      </c>
      <c r="K137" s="180">
        <f t="shared" si="465"/>
        <v>0.18676759900778372</v>
      </c>
      <c r="L137" s="180">
        <f t="shared" si="465"/>
        <v>0.17771829500750336</v>
      </c>
      <c r="M137" s="180">
        <f t="shared" si="465"/>
        <v>0.18094508860205649</v>
      </c>
      <c r="N137" s="180">
        <f t="shared" si="465"/>
        <v>0.21994936301892865</v>
      </c>
      <c r="O137" s="180">
        <f t="shared" si="465"/>
        <v>0.22863337263702399</v>
      </c>
      <c r="P137" s="180">
        <f t="shared" si="465"/>
        <v>0.23781037154492046</v>
      </c>
      <c r="Q137" s="180">
        <f t="shared" si="465"/>
        <v>0.25944419573676725</v>
      </c>
      <c r="R137" s="450">
        <f t="shared" si="465"/>
        <v>0.23727793112391371</v>
      </c>
      <c r="S137" s="180">
        <f t="shared" si="465"/>
        <v>0.23511002767163003</v>
      </c>
      <c r="T137" s="180">
        <f t="shared" si="465"/>
        <v>0.23450560336821247</v>
      </c>
      <c r="U137" s="180">
        <f t="shared" si="465"/>
        <v>0.23643298008617686</v>
      </c>
      <c r="V137" s="180">
        <f t="shared" si="465"/>
        <v>0.21524075137396448</v>
      </c>
      <c r="W137" s="525">
        <f t="shared" si="465"/>
        <v>0.22986397562491101</v>
      </c>
      <c r="X137" s="180">
        <f t="shared" si="465"/>
        <v>0.23351025524764624</v>
      </c>
      <c r="Y137" s="180">
        <f t="shared" si="465"/>
        <v>0.21538731599668992</v>
      </c>
      <c r="Z137" s="180">
        <f t="shared" si="465"/>
        <v>0.20056982740351792</v>
      </c>
      <c r="AA137" s="180">
        <f t="shared" si="465"/>
        <v>0.17502531218359763</v>
      </c>
      <c r="AB137" s="525">
        <f t="shared" si="465"/>
        <v>0.20477344111416818</v>
      </c>
      <c r="AC137" s="180">
        <f t="shared" si="465"/>
        <v>0.14861183186299942</v>
      </c>
      <c r="AD137" s="180">
        <f t="shared" si="465"/>
        <v>0.14104733215037335</v>
      </c>
      <c r="AE137" s="180">
        <f t="shared" si="465"/>
        <v>0.1667679996861946</v>
      </c>
      <c r="AF137" s="450">
        <f t="shared" si="465"/>
        <v>0.20471430759803932</v>
      </c>
      <c r="AG137" s="525">
        <f t="shared" si="465"/>
        <v>0.16623973727421992</v>
      </c>
      <c r="AH137" s="450">
        <f t="shared" si="465"/>
        <v>0.22132489975715819</v>
      </c>
      <c r="AI137" s="450">
        <f t="shared" si="465"/>
        <v>0.23237857582004273</v>
      </c>
      <c r="AJ137" s="450">
        <f t="shared" si="465"/>
        <v>0.20453857791225416</v>
      </c>
      <c r="AK137" s="450">
        <f t="shared" si="465"/>
        <v>0.17936898990701744</v>
      </c>
      <c r="AL137" s="525">
        <f t="shared" si="465"/>
        <v>0.20821130885334527</v>
      </c>
      <c r="AM137" s="450">
        <f t="shared" ref="AM137" si="466">+(AM$9/AH$9)-1</f>
        <v>0.16130275285921258</v>
      </c>
      <c r="AN137" s="450">
        <f t="shared" ref="AN137" si="467">+(AN$9/AI$9)-1</f>
        <v>0.158114829868091</v>
      </c>
      <c r="AO137" s="450">
        <f t="shared" ref="AO137" si="468">+(AO$9/AJ$9)-1</f>
        <v>0.1536883530101314</v>
      </c>
      <c r="AP137" s="450">
        <f t="shared" ref="AP137" si="469">+(AP$9/AK$9)-1</f>
        <v>0.14102425876010782</v>
      </c>
      <c r="AQ137" s="525">
        <f t="shared" ref="AQ137" si="470">+(AQ$9/AL$9)-1</f>
        <v>0.15317205052906346</v>
      </c>
      <c r="AR137" s="180">
        <f t="shared" ref="AR137" si="471">+(AR$9/AM$9)-1</f>
        <v>0.14493715408199837</v>
      </c>
      <c r="AS137" s="180">
        <f t="shared" ref="AS137" si="472">+(AS$9/AN$9)-1</f>
        <v>0.12544185280441922</v>
      </c>
      <c r="AT137" s="180">
        <f t="shared" ref="AT137" si="473">+(AT$9/AO$9)-1</f>
        <v>0.12577566498530324</v>
      </c>
      <c r="AU137" s="180">
        <f t="shared" ref="AU137" si="474">+(AU$9/AP$9)-1</f>
        <v>0.11973211754700941</v>
      </c>
      <c r="AV137" s="525">
        <f t="shared" ref="AV137" si="475">+(AV$9/AQ$9)-1</f>
        <v>0.12859172841387156</v>
      </c>
      <c r="AW137" s="180">
        <f t="shared" ref="AW137" si="476">+(AW$9/AR$9)-1</f>
        <v>0.12163963692428958</v>
      </c>
      <c r="AX137" s="180">
        <f t="shared" ref="AX137" si="477">+(AX$9/AS$9)-1</f>
        <v>0.12239108409321164</v>
      </c>
      <c r="AY137" s="180">
        <f t="shared" ref="AY137" si="478">+(AY$9/AT$9)-1</f>
        <v>0.12748605873061924</v>
      </c>
      <c r="AZ137" s="180">
        <f t="shared" ref="AZ137" si="479">+(AZ$9/AU$9)-1</f>
        <v>0.15800466239807598</v>
      </c>
      <c r="BA137" s="525">
        <f t="shared" ref="BA137" si="480">+(BA$9/AV$9)-1</f>
        <v>0.13282070073258145</v>
      </c>
      <c r="BB137" s="180">
        <f t="shared" ref="BB137" si="481">+(BB$9/AW$9)-1</f>
        <v>0.17222704535119271</v>
      </c>
      <c r="BC137" s="180">
        <f t="shared" ref="BC137" si="482">+(BC$9/AX$9)-1</f>
        <v>0.20251349020079834</v>
      </c>
      <c r="BD137" s="180">
        <f t="shared" ref="BD137" si="483">+(BD$9/AY$9)-1</f>
        <v>0.19657117807383684</v>
      </c>
      <c r="BE137" s="180">
        <f t="shared" ref="BE137" si="484">+(BE$9/AZ$9)-1</f>
        <v>0.19192020404445254</v>
      </c>
      <c r="BF137" s="525">
        <f t="shared" ref="BF137" si="485">+(BF$9/BA$9)-1</f>
        <v>0.19104170517447683</v>
      </c>
      <c r="BG137" s="180">
        <f t="shared" ref="BG137" si="486">+(BG$9/BB$9)-1</f>
        <v>0.15220419679068953</v>
      </c>
      <c r="BH137" s="180">
        <f t="shared" ref="BH137" si="487">+(BH$9/BC$9)-1</f>
        <v>0.14442878233091183</v>
      </c>
      <c r="BI137" s="180">
        <f t="shared" ref="BI137" si="488">+(BI$9/BD$9)-1</f>
        <v>0.13089255421667545</v>
      </c>
      <c r="BJ137" s="180">
        <f t="shared" ref="BJ137" si="489">+(BJ$9/BE$9)-1</f>
        <v>0.1048613287071356</v>
      </c>
      <c r="BK137" s="525">
        <f t="shared" ref="BK137" si="490">+(BK$9/BF$9)-1</f>
        <v>0.13218697100197452</v>
      </c>
      <c r="BL137" s="180">
        <f t="shared" ref="BL137" si="491">+(BL$9/BG$9)-1</f>
        <v>0.11571512744580392</v>
      </c>
      <c r="BM137" s="180">
        <f t="shared" ref="BM137" si="492">+(BM$9/BH$9)-1</f>
        <v>8.3806455844733119E-2</v>
      </c>
      <c r="BN137" s="180">
        <f t="shared" ref="BN137" si="493">+(BN$9/BI$9)-1</f>
        <v>8.3600946505535401E-2</v>
      </c>
      <c r="BO137" s="180">
        <f t="shared" ref="BO137" si="494">+(BO$9/BJ$9)-1</f>
        <v>0.1011343985612505</v>
      </c>
      <c r="BP137" s="525">
        <f t="shared" ref="BP137" si="495">+(BP$9/BK$9)-1</f>
        <v>9.5792647955300403E-2</v>
      </c>
      <c r="BQ137" s="180">
        <f t="shared" ref="BQ137" si="496">+(BQ$9/BL$9)-1</f>
        <v>9.6663351736908876E-2</v>
      </c>
      <c r="BR137" s="180">
        <f t="shared" ref="BR137" si="497">+(BR$9/BM$9)-1</f>
        <v>0.10324932081663385</v>
      </c>
      <c r="BS137" s="180">
        <f t="shared" ref="BS137" si="498">+(BS$9/BN$9)-1</f>
        <v>0.1040833966997472</v>
      </c>
      <c r="BT137" s="180">
        <f t="shared" ref="BT137" si="499">+(BT$9/BO$9)-1</f>
        <v>0.10107983491529038</v>
      </c>
      <c r="BU137" s="525">
        <f t="shared" ref="BU137" si="500">+(BU$9/BP$9)-1</f>
        <v>0.10131161625554874</v>
      </c>
      <c r="BV137" s="180">
        <f t="shared" ref="BV137" si="501">+(BV$9/BQ$9)-1</f>
        <v>8.4999999999999964E-2</v>
      </c>
      <c r="BW137" s="180">
        <f t="shared" ref="BW137" si="502">+(BW$9/BR$9)-1</f>
        <v>8.0000000000000071E-2</v>
      </c>
      <c r="BX137" s="180">
        <f t="shared" ref="BX137" si="503">+(BX$9/BS$9)-1</f>
        <v>7.4999999999999956E-2</v>
      </c>
      <c r="BY137" s="180">
        <f t="shared" ref="BY137" si="504">+(BY$9/BT$9)-1</f>
        <v>7.0000000000000062E-2</v>
      </c>
      <c r="BZ137" s="525">
        <f t="shared" ref="BZ137" si="505">+(BZ$9/BU$9)-1</f>
        <v>7.7305832243601991E-2</v>
      </c>
      <c r="CA137" s="180">
        <f t="shared" ref="CA137" si="506">+(CA$9/BV$9)-1</f>
        <v>8.0000000000000071E-2</v>
      </c>
      <c r="CB137" s="180">
        <f t="shared" ref="CB137" si="507">+(CB$9/BW$9)-1</f>
        <v>7.0000000000000062E-2</v>
      </c>
      <c r="CC137" s="180">
        <f t="shared" ref="CC137" si="508">+(CC$9/BX$9)-1</f>
        <v>6.0000000000000053E-2</v>
      </c>
      <c r="CD137" s="180">
        <f t="shared" ref="CD137" si="509">+(CD$9/BY$9)-1</f>
        <v>6.0000000000000053E-2</v>
      </c>
      <c r="CE137" s="525">
        <f t="shared" ref="CE137" si="510">+(CE$9/BZ$9)-1</f>
        <v>6.7271500908719473E-2</v>
      </c>
    </row>
    <row r="138" spans="2:83" ht="13.15">
      <c r="B138" s="415"/>
      <c r="C138" s="415"/>
      <c r="D138" s="216"/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427"/>
      <c r="S138" s="216"/>
      <c r="T138" s="216"/>
      <c r="U138" s="216"/>
      <c r="V138" s="216"/>
      <c r="W138" s="481"/>
      <c r="X138" s="216"/>
      <c r="Y138" s="216"/>
      <c r="Z138" s="216"/>
      <c r="AA138" s="216"/>
      <c r="AB138" s="481"/>
      <c r="AC138" s="216"/>
      <c r="AD138" s="216"/>
      <c r="AE138" s="216"/>
      <c r="AF138" s="427"/>
      <c r="AG138" s="481"/>
      <c r="AH138" s="427"/>
      <c r="AI138" s="427"/>
      <c r="AJ138" s="427"/>
      <c r="AK138" s="427"/>
      <c r="AL138" s="481"/>
      <c r="AM138" s="427"/>
      <c r="AN138" s="427"/>
      <c r="AO138" s="427"/>
      <c r="AP138" s="427"/>
      <c r="AQ138" s="481"/>
      <c r="AR138" s="216"/>
      <c r="AS138" s="216"/>
      <c r="AT138" s="216"/>
      <c r="AU138" s="216"/>
      <c r="AV138" s="481"/>
      <c r="AW138" s="216"/>
      <c r="AX138" s="216"/>
      <c r="AY138" s="216"/>
      <c r="AZ138" s="216"/>
      <c r="BA138" s="481"/>
      <c r="BB138" s="216"/>
      <c r="BC138" s="216"/>
      <c r="BD138" s="216"/>
      <c r="BE138" s="216"/>
      <c r="BF138" s="481"/>
      <c r="BG138" s="216"/>
      <c r="BH138" s="216"/>
      <c r="BI138" s="216"/>
      <c r="BJ138" s="216"/>
      <c r="BK138" s="481"/>
      <c r="BL138" s="216"/>
      <c r="BM138" s="216"/>
      <c r="BN138" s="216"/>
      <c r="BO138" s="216"/>
      <c r="BP138" s="481"/>
      <c r="BQ138" s="216"/>
      <c r="BR138" s="216"/>
      <c r="BS138" s="216"/>
      <c r="BT138" s="216"/>
      <c r="BU138" s="481"/>
      <c r="BV138" s="216"/>
      <c r="BW138" s="216"/>
      <c r="BX138" s="216"/>
      <c r="BY138" s="216"/>
      <c r="BZ138" s="481"/>
      <c r="CA138" s="216"/>
      <c r="CB138" s="216"/>
      <c r="CC138" s="216"/>
      <c r="CD138" s="216"/>
      <c r="CE138" s="481"/>
    </row>
    <row r="139" spans="2:83" ht="13.35" customHeight="1">
      <c r="B139" s="407" t="s">
        <v>4</v>
      </c>
      <c r="C139" s="415"/>
      <c r="D139" s="216"/>
      <c r="E139" s="216"/>
      <c r="F139" s="216"/>
      <c r="G139" s="216"/>
      <c r="H139" s="216"/>
      <c r="I139" s="171">
        <f>+(I$14/D$14)-1</f>
        <v>0.38869946419873358</v>
      </c>
      <c r="J139" s="171">
        <f t="shared" ref="J139:AL139" si="511">+(J$14/E$14)-1</f>
        <v>0.27589991220368781</v>
      </c>
      <c r="K139" s="171">
        <f t="shared" si="511"/>
        <v>0.38239159001314027</v>
      </c>
      <c r="L139" s="171">
        <f t="shared" si="511"/>
        <v>0.30632653061224557</v>
      </c>
      <c r="M139" s="171">
        <f t="shared" si="511"/>
        <v>0.33649602824360136</v>
      </c>
      <c r="N139" s="171">
        <f t="shared" si="511"/>
        <v>0.17450017537706075</v>
      </c>
      <c r="O139" s="171">
        <f t="shared" si="511"/>
        <v>0.20712196800275207</v>
      </c>
      <c r="P139" s="171">
        <f t="shared" si="511"/>
        <v>0.14797211660329523</v>
      </c>
      <c r="Q139" s="171">
        <f t="shared" si="511"/>
        <v>0.13201062334010283</v>
      </c>
      <c r="R139" s="426">
        <f t="shared" si="511"/>
        <v>0.164190193164933</v>
      </c>
      <c r="S139" s="171">
        <f t="shared" si="511"/>
        <v>0.14021203523965964</v>
      </c>
      <c r="T139" s="171">
        <f t="shared" si="511"/>
        <v>0.11343879150634195</v>
      </c>
      <c r="U139" s="171">
        <f t="shared" si="511"/>
        <v>0.16326248964946166</v>
      </c>
      <c r="V139" s="171">
        <f t="shared" si="511"/>
        <v>0.20852884349986223</v>
      </c>
      <c r="W139" s="480">
        <f t="shared" si="511"/>
        <v>0.15702332836985033</v>
      </c>
      <c r="X139" s="171">
        <f t="shared" si="511"/>
        <v>0.18347302252488218</v>
      </c>
      <c r="Y139" s="171">
        <f t="shared" si="511"/>
        <v>0.23755279662101625</v>
      </c>
      <c r="Z139" s="171">
        <f t="shared" si="511"/>
        <v>0.27796891683473723</v>
      </c>
      <c r="AA139" s="171">
        <f t="shared" si="511"/>
        <v>0.27178257394084704</v>
      </c>
      <c r="AB139" s="480">
        <f t="shared" si="511"/>
        <v>0.24452275164700477</v>
      </c>
      <c r="AC139" s="171">
        <f t="shared" si="511"/>
        <v>0.30496846298550429</v>
      </c>
      <c r="AD139" s="171">
        <f t="shared" si="511"/>
        <v>0.20146861102492508</v>
      </c>
      <c r="AE139" s="171">
        <f t="shared" si="511"/>
        <v>0.12421091719272193</v>
      </c>
      <c r="AF139" s="426">
        <f t="shared" si="511"/>
        <v>0.20687797431983479</v>
      </c>
      <c r="AG139" s="480">
        <f t="shared" si="511"/>
        <v>0.20549058229718087</v>
      </c>
      <c r="AH139" s="426">
        <f t="shared" si="511"/>
        <v>0.24132960230645284</v>
      </c>
      <c r="AI139" s="426">
        <f t="shared" si="511"/>
        <v>0.27399500731686333</v>
      </c>
      <c r="AJ139" s="426">
        <f t="shared" si="511"/>
        <v>0.24252683732452529</v>
      </c>
      <c r="AK139" s="426">
        <f t="shared" si="511"/>
        <v>0.15951194107581279</v>
      </c>
      <c r="AL139" s="480">
        <f t="shared" si="511"/>
        <v>0.2269152999325994</v>
      </c>
      <c r="AM139" s="426">
        <f t="shared" ref="AM139" si="512">+(AM$14/AH$14)-1</f>
        <v>7.0359997267573027E-2</v>
      </c>
      <c r="AN139" s="426">
        <f t="shared" ref="AN139" si="513">+(AN$14/AI$14)-1</f>
        <v>4.6418918918919028E-2</v>
      </c>
      <c r="AO139" s="426">
        <f t="shared" ref="AO139" si="514">+(AO$14/AJ$14)-1</f>
        <v>-7.3104273277069254E-4</v>
      </c>
      <c r="AP139" s="426">
        <f t="shared" ref="AP139" si="515">+(AP$14/AK$14)-1</f>
        <v>-3.2402951555983273E-2</v>
      </c>
      <c r="AQ139" s="480">
        <f t="shared" ref="AQ139" si="516">+(AQ$14/AL$14)-1</f>
        <v>1.9993008273542889E-2</v>
      </c>
      <c r="AR139" s="171">
        <f t="shared" ref="AR139" si="517">+(AR$14/AM$14)-1</f>
        <v>4.5759142255408669E-2</v>
      </c>
      <c r="AS139" s="171">
        <f t="shared" ref="AS139" si="518">+(AS$14/AN$14)-1</f>
        <v>8.5620197585071445E-2</v>
      </c>
      <c r="AT139" s="171">
        <f t="shared" ref="AT139" si="519">+(AT$14/AO$14)-1</f>
        <v>0.21508379888268148</v>
      </c>
      <c r="AU139" s="171">
        <f t="shared" ref="AU139" si="520">+(AU$14/AP$14)-1</f>
        <v>0.24668435013262591</v>
      </c>
      <c r="AV139" s="480">
        <f t="shared" ref="AV139" si="521">+(AV$14/AQ$14)-1</f>
        <v>0.14683705444575001</v>
      </c>
      <c r="AW139" s="171">
        <f t="shared" ref="AW139" si="522">+(AW$14/AR$14)-1</f>
        <v>0.17081655071402424</v>
      </c>
      <c r="AX139" s="171">
        <f t="shared" ref="AX139" si="523">+(AX$14/AS$14)-1</f>
        <v>0.13543091655266748</v>
      </c>
      <c r="AY139" s="171">
        <f t="shared" ref="AY139" si="524">+(AY$14/AT$14)-1</f>
        <v>8.7739463601532508E-2</v>
      </c>
      <c r="AZ139" s="171">
        <f t="shared" ref="AZ139" si="525">+(AZ$14/AU$14)-1</f>
        <v>0.11851063829787245</v>
      </c>
      <c r="BA139" s="480">
        <f t="shared" ref="BA139" si="526">+(BA$14/AV$14)-1</f>
        <v>0.12675575289245611</v>
      </c>
      <c r="BB139" s="171">
        <f t="shared" ref="BB139" si="527">+(BB$14/AW$14)-1</f>
        <v>0.11029450091217097</v>
      </c>
      <c r="BC139" s="171">
        <f t="shared" ref="BC139" si="528">+(BC$14/AX$14)-1</f>
        <v>0.17255107386065993</v>
      </c>
      <c r="BD139" s="171">
        <f t="shared" ref="BD139" si="529">+(BD$14/AY$14)-1</f>
        <v>0.17481004377799025</v>
      </c>
      <c r="BE139" s="171">
        <f t="shared" ref="BE139" si="530">+(BE$14/AZ$14)-1</f>
        <v>0.19388434468327942</v>
      </c>
      <c r="BF139" s="480">
        <f t="shared" ref="BF139" si="531">+(BF$14/BA$14)-1</f>
        <v>0.16369859553400024</v>
      </c>
      <c r="BG139" s="171">
        <f t="shared" ref="BG139" si="532">+(BG$14/BB$14)-1</f>
        <v>0.15557955025585657</v>
      </c>
      <c r="BH139" s="171">
        <f t="shared" ref="BH139" si="533">+(BH$14/BC$14)-1</f>
        <v>8.1040028591851332E-2</v>
      </c>
      <c r="BI139" s="171">
        <f t="shared" ref="BI139" si="534">+(BI$14/BD$14)-1</f>
        <v>2.9939606801730356E-2</v>
      </c>
      <c r="BJ139" s="171">
        <f t="shared" ref="BJ139" si="535">+(BJ$14/BE$14)-1</f>
        <v>-3.0511850229038018E-2</v>
      </c>
      <c r="BK139" s="480">
        <f t="shared" ref="BK139" si="536">+(BK$14/BF$14)-1</f>
        <v>5.4929073010842489E-2</v>
      </c>
      <c r="BL139" s="171">
        <f t="shared" ref="BL139" si="537">+(BL$14/BG$14)-1</f>
        <v>-7.4751167986999434E-3</v>
      </c>
      <c r="BM139" s="171">
        <f t="shared" ref="BM139" si="538">+(BM$14/BH$14)-1</f>
        <v>-1.6323663112653986E-2</v>
      </c>
      <c r="BN139" s="171">
        <f t="shared" ref="BN139" si="539">+(BN$14/BI$14)-1</f>
        <v>8.3173916659735614E-2</v>
      </c>
      <c r="BO139" s="171">
        <f t="shared" ref="BO139" si="540">+(BO$14/BJ$14)-1</f>
        <v>7.7940753523152217E-2</v>
      </c>
      <c r="BP139" s="480">
        <f t="shared" ref="BP139" si="541">+(BP$14/BK$14)-1</f>
        <v>3.4136504866355333E-2</v>
      </c>
      <c r="BQ139" s="171">
        <f t="shared" ref="BQ139" si="542">+(BQ$14/BL$14)-1</f>
        <v>7.224427980844017E-2</v>
      </c>
      <c r="BR139" s="171">
        <f t="shared" ref="BR139" si="543">+(BR$14/BM$14)-1</f>
        <v>0.10313825988320802</v>
      </c>
      <c r="BS139" s="171">
        <f t="shared" ref="BS139" si="544">+(BS$14/BN$14)-1</f>
        <v>-4.0658834369960872E-2</v>
      </c>
      <c r="BT139" s="171">
        <f t="shared" ref="BT139" si="545">+(BT$14/BO$14)-1</f>
        <v>1.9057783198661582E-4</v>
      </c>
      <c r="BU139" s="480">
        <f t="shared" ref="BU139" si="546">+(BU$14/BP$14)-1</f>
        <v>3.1497473039118207E-2</v>
      </c>
      <c r="BV139" s="171">
        <f t="shared" ref="BV139" si="547">+(BV$14/BQ$14)-1</f>
        <v>5.9645228279126661E-2</v>
      </c>
      <c r="BW139" s="171">
        <f t="shared" ref="BW139" si="548">+(BW$14/BR$14)-1</f>
        <v>7.9667666996724895E-2</v>
      </c>
      <c r="BX139" s="171">
        <f t="shared" ref="BX139" si="549">+(BX$14/BS$14)-1</f>
        <v>0.14747006643454585</v>
      </c>
      <c r="BY139" s="171">
        <f t="shared" ref="BY139" si="550">+(BY$14/BT$14)-1</f>
        <v>0.10782819633398133</v>
      </c>
      <c r="BZ139" s="480">
        <f t="shared" ref="BZ139" si="551">+(BZ$14/BU$14)-1</f>
        <v>9.8076177639320417E-2</v>
      </c>
      <c r="CA139" s="171">
        <f t="shared" ref="CA139" si="552">+(CA$14/BV$14)-1</f>
        <v>6.6499999999999782E-2</v>
      </c>
      <c r="CB139" s="171">
        <f t="shared" ref="CB139" si="553">+(CB$14/BW$14)-1</f>
        <v>4.3250000000000677E-2</v>
      </c>
      <c r="CC139" s="171">
        <f t="shared" ref="CC139" si="554">+(CC$14/BX$14)-1</f>
        <v>4.6496815286624082E-2</v>
      </c>
      <c r="CD139" s="171">
        <f t="shared" ref="CD139" si="555">+(CD$14/BY$14)-1</f>
        <v>2.5806451612903514E-2</v>
      </c>
      <c r="CE139" s="480">
        <f t="shared" ref="CE139" si="556">+(CE$14/BZ$14)-1</f>
        <v>4.5282340669665189E-2</v>
      </c>
    </row>
    <row r="140" spans="2:83" ht="4.5" customHeight="1">
      <c r="B140" s="407"/>
      <c r="C140" s="407"/>
      <c r="D140" s="238"/>
      <c r="E140" s="238"/>
      <c r="F140" s="238"/>
      <c r="G140" s="238"/>
      <c r="H140" s="238"/>
      <c r="I140" s="238" t="s">
        <v>0</v>
      </c>
      <c r="J140" s="238" t="s">
        <v>0</v>
      </c>
      <c r="K140" s="238" t="s">
        <v>0</v>
      </c>
      <c r="L140" s="238" t="s">
        <v>0</v>
      </c>
      <c r="M140" s="238" t="s">
        <v>0</v>
      </c>
      <c r="N140" s="238" t="s">
        <v>0</v>
      </c>
      <c r="O140" s="238" t="s">
        <v>0</v>
      </c>
      <c r="P140" s="238" t="s">
        <v>0</v>
      </c>
      <c r="Q140" s="238" t="s">
        <v>0</v>
      </c>
      <c r="R140" s="419" t="s">
        <v>0</v>
      </c>
      <c r="S140" s="238" t="s">
        <v>0</v>
      </c>
      <c r="T140" s="238" t="s">
        <v>0</v>
      </c>
      <c r="U140" s="238" t="s">
        <v>0</v>
      </c>
      <c r="V140" s="238" t="s">
        <v>0</v>
      </c>
      <c r="W140" s="477" t="s">
        <v>0</v>
      </c>
      <c r="X140" s="238" t="s">
        <v>0</v>
      </c>
      <c r="Y140" s="238" t="s">
        <v>0</v>
      </c>
      <c r="Z140" s="238" t="s">
        <v>0</v>
      </c>
      <c r="AA140" s="238" t="s">
        <v>0</v>
      </c>
      <c r="AB140" s="477" t="s">
        <v>0</v>
      </c>
      <c r="AC140" s="238" t="s">
        <v>0</v>
      </c>
      <c r="AD140" s="238" t="s">
        <v>0</v>
      </c>
      <c r="AE140" s="238" t="s">
        <v>0</v>
      </c>
      <c r="AF140" s="419" t="s">
        <v>0</v>
      </c>
      <c r="AG140" s="477" t="s">
        <v>0</v>
      </c>
      <c r="AH140" s="419" t="s">
        <v>0</v>
      </c>
      <c r="AI140" s="419" t="s">
        <v>0</v>
      </c>
      <c r="AJ140" s="419" t="s">
        <v>0</v>
      </c>
      <c r="AK140" s="419" t="s">
        <v>0</v>
      </c>
      <c r="AL140" s="477" t="s">
        <v>0</v>
      </c>
      <c r="AM140" s="419" t="s">
        <v>0</v>
      </c>
      <c r="AN140" s="419" t="s">
        <v>0</v>
      </c>
      <c r="AO140" s="419" t="s">
        <v>0</v>
      </c>
      <c r="AP140" s="419" t="s">
        <v>0</v>
      </c>
      <c r="AQ140" s="477" t="s">
        <v>0</v>
      </c>
      <c r="AR140" s="238" t="s">
        <v>0</v>
      </c>
      <c r="AS140" s="238" t="s">
        <v>0</v>
      </c>
      <c r="AT140" s="238" t="s">
        <v>0</v>
      </c>
      <c r="AU140" s="238" t="s">
        <v>0</v>
      </c>
      <c r="AV140" s="477" t="s">
        <v>0</v>
      </c>
      <c r="AW140" s="238" t="s">
        <v>0</v>
      </c>
      <c r="AX140" s="238" t="s">
        <v>0</v>
      </c>
      <c r="AY140" s="238" t="s">
        <v>0</v>
      </c>
      <c r="AZ140" s="238" t="s">
        <v>0</v>
      </c>
      <c r="BA140" s="477" t="s">
        <v>0</v>
      </c>
      <c r="BB140" s="238" t="s">
        <v>0</v>
      </c>
      <c r="BC140" s="238" t="s">
        <v>0</v>
      </c>
      <c r="BD140" s="238" t="s">
        <v>0</v>
      </c>
      <c r="BE140" s="238" t="s">
        <v>0</v>
      </c>
      <c r="BF140" s="477" t="s">
        <v>0</v>
      </c>
      <c r="BG140" s="238" t="s">
        <v>0</v>
      </c>
      <c r="BH140" s="238" t="s">
        <v>0</v>
      </c>
      <c r="BI140" s="238" t="s">
        <v>0</v>
      </c>
      <c r="BJ140" s="238" t="s">
        <v>0</v>
      </c>
      <c r="BK140" s="477" t="s">
        <v>0</v>
      </c>
      <c r="BL140" s="238" t="s">
        <v>0</v>
      </c>
      <c r="BM140" s="238" t="s">
        <v>0</v>
      </c>
      <c r="BN140" s="238" t="s">
        <v>0</v>
      </c>
      <c r="BO140" s="238" t="s">
        <v>0</v>
      </c>
      <c r="BP140" s="477" t="s">
        <v>0</v>
      </c>
      <c r="BQ140" s="238" t="s">
        <v>0</v>
      </c>
      <c r="BR140" s="238" t="s">
        <v>0</v>
      </c>
      <c r="BS140" s="238" t="s">
        <v>0</v>
      </c>
      <c r="BT140" s="238" t="s">
        <v>0</v>
      </c>
      <c r="BU140" s="477" t="s">
        <v>0</v>
      </c>
      <c r="BV140" s="238" t="s">
        <v>0</v>
      </c>
      <c r="BW140" s="238" t="s">
        <v>0</v>
      </c>
      <c r="BX140" s="238" t="s">
        <v>0</v>
      </c>
      <c r="BY140" s="238" t="s">
        <v>0</v>
      </c>
      <c r="BZ140" s="477" t="s">
        <v>0</v>
      </c>
      <c r="CA140" s="238" t="s">
        <v>0</v>
      </c>
      <c r="CB140" s="238" t="s">
        <v>0</v>
      </c>
      <c r="CC140" s="238" t="s">
        <v>0</v>
      </c>
      <c r="CD140" s="238" t="s">
        <v>0</v>
      </c>
      <c r="CE140" s="477" t="s">
        <v>0</v>
      </c>
    </row>
    <row r="141" spans="2:83" ht="13.35" customHeight="1">
      <c r="B141" s="420" t="s">
        <v>1</v>
      </c>
      <c r="C141" s="421"/>
      <c r="D141" s="171"/>
      <c r="E141" s="171"/>
      <c r="F141" s="171"/>
      <c r="G141" s="171"/>
      <c r="H141" s="171"/>
      <c r="I141" s="171">
        <f>+(I$16/D$16)-1</f>
        <v>0.12268071407667547</v>
      </c>
      <c r="J141" s="171">
        <f t="shared" ref="J141:AL141" si="557">+(J$16/E$16)-1</f>
        <v>0.16127934671657029</v>
      </c>
      <c r="K141" s="171">
        <f t="shared" si="557"/>
        <v>0.13929634353741505</v>
      </c>
      <c r="L141" s="171">
        <f t="shared" si="557"/>
        <v>0.14582173406893806</v>
      </c>
      <c r="M141" s="171">
        <f t="shared" si="557"/>
        <v>0.14247121104622629</v>
      </c>
      <c r="N141" s="171">
        <f t="shared" si="557"/>
        <v>0.23346019498462023</v>
      </c>
      <c r="O141" s="171">
        <f t="shared" si="557"/>
        <v>0.23473972067584725</v>
      </c>
      <c r="P141" s="171">
        <f t="shared" si="557"/>
        <v>0.26426272332882395</v>
      </c>
      <c r="Q141" s="171">
        <f t="shared" si="557"/>
        <v>0.29547663221132558</v>
      </c>
      <c r="R141" s="426">
        <f t="shared" si="557"/>
        <v>0.25842549024291195</v>
      </c>
      <c r="S141" s="171">
        <f t="shared" si="557"/>
        <v>0.26197218817363366</v>
      </c>
      <c r="T141" s="171">
        <f t="shared" si="557"/>
        <v>0.26810361874629218</v>
      </c>
      <c r="U141" s="171">
        <f t="shared" si="557"/>
        <v>0.25599586746365577</v>
      </c>
      <c r="V141" s="171">
        <f t="shared" si="557"/>
        <v>0.21689910321546702</v>
      </c>
      <c r="W141" s="480">
        <f t="shared" si="557"/>
        <v>0.24936179097112166</v>
      </c>
      <c r="X141" s="171">
        <f t="shared" si="557"/>
        <v>0.24630739859999329</v>
      </c>
      <c r="Y141" s="171">
        <f t="shared" si="557"/>
        <v>0.20998627744510978</v>
      </c>
      <c r="Z141" s="171">
        <f t="shared" si="557"/>
        <v>0.18140423031727382</v>
      </c>
      <c r="AA141" s="171">
        <f t="shared" si="557"/>
        <v>0.15128334454158265</v>
      </c>
      <c r="AB141" s="480">
        <f t="shared" si="557"/>
        <v>0.19491982468533742</v>
      </c>
      <c r="AC141" s="171">
        <f t="shared" si="557"/>
        <v>0.11063932708070201</v>
      </c>
      <c r="AD141" s="171">
        <f t="shared" si="557"/>
        <v>0.12598912287032493</v>
      </c>
      <c r="AE141" s="171">
        <f t="shared" si="557"/>
        <v>0.17816735049111032</v>
      </c>
      <c r="AF141" s="426">
        <f t="shared" si="557"/>
        <v>0.20412782631976056</v>
      </c>
      <c r="AG141" s="480">
        <f t="shared" si="557"/>
        <v>0.15610577839933892</v>
      </c>
      <c r="AH141" s="426">
        <f t="shared" si="557"/>
        <v>0.21561653116531154</v>
      </c>
      <c r="AI141" s="426">
        <f t="shared" si="557"/>
        <v>0.22131166304223426</v>
      </c>
      <c r="AJ141" s="426">
        <f t="shared" si="557"/>
        <v>0.19482904178978466</v>
      </c>
      <c r="AK141" s="426">
        <f t="shared" si="557"/>
        <v>0.18476371427416427</v>
      </c>
      <c r="AL141" s="480">
        <f t="shared" si="557"/>
        <v>0.20317594725816113</v>
      </c>
      <c r="AM141" s="426">
        <f t="shared" ref="AM141" si="558">+(AM$16/AH$16)-1</f>
        <v>0.18780230498218509</v>
      </c>
      <c r="AN141" s="426">
        <f t="shared" ref="AN141" si="559">+(AN$16/AI$16)-1</f>
        <v>0.18909901973647214</v>
      </c>
      <c r="AO141" s="426">
        <f t="shared" ref="AO141" si="560">+(AO$16/AJ$16)-1</f>
        <v>0.19473247248767911</v>
      </c>
      <c r="AP141" s="426">
        <f t="shared" ref="AP141" si="561">+(AP$16/AK$16)-1</f>
        <v>0.18713639853279873</v>
      </c>
      <c r="AQ141" s="480">
        <f t="shared" ref="AQ141" si="562">+(AQ$16/AL$16)-1</f>
        <v>0.18973302013545501</v>
      </c>
      <c r="AR141" s="171">
        <f t="shared" ref="AR141" si="563">+(AR$16/AM$16)-1</f>
        <v>0.17097898582297155</v>
      </c>
      <c r="AS141" s="171">
        <f t="shared" ref="AS141" si="564">+(AS$16/AN$16)-1</f>
        <v>0.13516282588821293</v>
      </c>
      <c r="AT141" s="171">
        <f t="shared" ref="AT141" si="565">+(AT$16/AO$16)-1</f>
        <v>0.10592149035262799</v>
      </c>
      <c r="AU141" s="171">
        <f t="shared" ref="AU141" si="566">+(AU$16/AP$16)-1</f>
        <v>9.2219475741549761E-2</v>
      </c>
      <c r="AV141" s="480">
        <f t="shared" ref="AV141" si="567">+(AV$16/AQ$16)-1</f>
        <v>0.12429753970845248</v>
      </c>
      <c r="AW141" s="171">
        <f t="shared" ref="AW141" si="568">+(AW$16/AR$16)-1</f>
        <v>0.11010776077965567</v>
      </c>
      <c r="AX141" s="171">
        <f t="shared" ref="AX141" si="569">+(AX$16/AS$16)-1</f>
        <v>0.1193468208895121</v>
      </c>
      <c r="AY141" s="171">
        <f t="shared" ref="AY141" si="570">+(AY$16/AT$16)-1</f>
        <v>0.13719434751801485</v>
      </c>
      <c r="AZ141" s="171">
        <f t="shared" ref="AZ141" si="571">+(AZ$16/AU$16)-1</f>
        <v>0.16777410823541805</v>
      </c>
      <c r="BA141" s="480">
        <f t="shared" ref="BA141" si="572">+(BA$16/AV$16)-1</f>
        <v>0.13427675319617083</v>
      </c>
      <c r="BB141" s="171">
        <f t="shared" ref="BB141" si="573">+(BB$16/AW$16)-1</f>
        <v>0.18754431424114681</v>
      </c>
      <c r="BC141" s="171">
        <f t="shared" ref="BC141" si="574">+(BC$16/AX$16)-1</f>
        <v>0.20960899121718857</v>
      </c>
      <c r="BD141" s="171">
        <f t="shared" ref="BD141" si="575">+(BD$16/AY$16)-1</f>
        <v>0.20165528267948885</v>
      </c>
      <c r="BE141" s="171">
        <f t="shared" ref="BE141" si="576">+(BE$16/AZ$16)-1</f>
        <v>0.19145484045429972</v>
      </c>
      <c r="BF141" s="480">
        <f t="shared" ref="BF141" si="577">+(BF$16/BA$16)-1</f>
        <v>0.19756262123640034</v>
      </c>
      <c r="BG141" s="171">
        <f t="shared" ref="BG141" si="578">+(BG$16/BB$16)-1</f>
        <v>0.15142370195073762</v>
      </c>
      <c r="BH141" s="171">
        <f t="shared" ref="BH141" si="579">+(BH$16/BC$16)-1</f>
        <v>0.15898019669979191</v>
      </c>
      <c r="BI141" s="171">
        <f t="shared" ref="BI141" si="580">+(BI$16/BD$16)-1</f>
        <v>0.15395151349130254</v>
      </c>
      <c r="BJ141" s="171">
        <f t="shared" ref="BJ141" si="581">+(BJ$16/BE$16)-1</f>
        <v>0.13700068088969597</v>
      </c>
      <c r="BK141" s="480">
        <f t="shared" ref="BK141" si="582">+(BK$16/BF$16)-1</f>
        <v>0.15009079796572311</v>
      </c>
      <c r="BL141" s="171">
        <f t="shared" ref="BL141" si="583">+(BL$16/BG$16)-1</f>
        <v>0.14430365425953151</v>
      </c>
      <c r="BM141" s="171">
        <f t="shared" ref="BM141" si="584">+(BM$16/BH$16)-1</f>
        <v>0.10524639194414709</v>
      </c>
      <c r="BN141" s="171">
        <f t="shared" ref="BN141" si="585">+(BN$16/BI$16)-1</f>
        <v>8.3688003391267474E-2</v>
      </c>
      <c r="BO141" s="171">
        <f t="shared" ref="BO141" si="586">+(BO$16/BJ$16)-1</f>
        <v>0.10582961133152025</v>
      </c>
      <c r="BP141" s="480">
        <f t="shared" ref="BP141" si="587">+(BP$16/BK$16)-1</f>
        <v>0.10889865721908754</v>
      </c>
      <c r="BQ141" s="171">
        <f t="shared" ref="BQ141" si="588">+(BQ$16/BL$16)-1</f>
        <v>0.10157859179066353</v>
      </c>
      <c r="BR141" s="171">
        <f t="shared" ref="BR141" si="589">+(BR$16/BM$16)-1</f>
        <v>0.10327048556903251</v>
      </c>
      <c r="BS141" s="171">
        <f t="shared" ref="BS141" si="590">+(BS$16/BN$16)-1</f>
        <v>0.13357742467982558</v>
      </c>
      <c r="BT141" s="171">
        <f t="shared" ref="BT141" si="591">+(BT$16/BO$16)-1</f>
        <v>0.12098830431348961</v>
      </c>
      <c r="BU141" s="480">
        <f t="shared" ref="BU141" si="592">+(BU$16/BP$16)-1</f>
        <v>0.11515121633747816</v>
      </c>
      <c r="BV141" s="171">
        <f t="shared" ref="BV141" si="593">+(BV$16/BQ$16)-1</f>
        <v>8.9967679109668408E-2</v>
      </c>
      <c r="BW141" s="171">
        <f t="shared" ref="BW141" si="594">+(BW$16/BR$16)-1</f>
        <v>8.0063324722069229E-2</v>
      </c>
      <c r="BX141" s="171">
        <f t="shared" ref="BX141" si="595">+(BX$16/BS$16)-1</f>
        <v>6.2502608440594853E-2</v>
      </c>
      <c r="BY141" s="171">
        <f t="shared" ref="BY141" si="596">+(BY$16/BT$16)-1</f>
        <v>6.3339754161606532E-2</v>
      </c>
      <c r="BZ141" s="480">
        <f t="shared" ref="BZ141" si="597">+(BZ$16/BU$16)-1</f>
        <v>7.3497294599102148E-2</v>
      </c>
      <c r="CA141" s="171">
        <f t="shared" ref="CA141" si="598">+(CA$16/BV$16)-1</f>
        <v>8.257142857142874E-2</v>
      </c>
      <c r="CB141" s="171">
        <f t="shared" ref="CB141" si="599">+(CB$16/BW$16)-1</f>
        <v>7.5095238095238104E-2</v>
      </c>
      <c r="CC141" s="171">
        <f t="shared" ref="CC141" si="600">+(CC$16/BX$16)-1</f>
        <v>6.2514827995254985E-2</v>
      </c>
      <c r="CD141" s="171">
        <f t="shared" ref="CD141" si="601">+(CD$16/BY$16)-1</f>
        <v>6.6272189349112498E-2</v>
      </c>
      <c r="CE141" s="480">
        <f t="shared" ref="CE141" si="602">+(CE$16/BZ$16)-1</f>
        <v>7.1395843125227509E-2</v>
      </c>
    </row>
    <row r="142" spans="2:83" ht="4.5" customHeight="1">
      <c r="B142" s="420"/>
      <c r="C142" s="42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426"/>
      <c r="S142" s="171"/>
      <c r="T142" s="171"/>
      <c r="U142" s="171"/>
      <c r="V142" s="171"/>
      <c r="W142" s="480"/>
      <c r="X142" s="171"/>
      <c r="Y142" s="171"/>
      <c r="Z142" s="171"/>
      <c r="AA142" s="171"/>
      <c r="AB142" s="480"/>
      <c r="AC142" s="171"/>
      <c r="AD142" s="171"/>
      <c r="AE142" s="171"/>
      <c r="AF142" s="426"/>
      <c r="AG142" s="480"/>
      <c r="AH142" s="426"/>
      <c r="AI142" s="426"/>
      <c r="AJ142" s="426"/>
      <c r="AK142" s="426"/>
      <c r="AL142" s="480"/>
      <c r="AM142" s="426"/>
      <c r="AN142" s="426"/>
      <c r="AO142" s="426"/>
      <c r="AP142" s="426"/>
      <c r="AQ142" s="480"/>
      <c r="AR142" s="171"/>
      <c r="AS142" s="171"/>
      <c r="AT142" s="171"/>
      <c r="AU142" s="171"/>
      <c r="AV142" s="480"/>
      <c r="AW142" s="171"/>
      <c r="AX142" s="171"/>
      <c r="AY142" s="171"/>
      <c r="AZ142" s="171"/>
      <c r="BA142" s="480"/>
      <c r="BB142" s="171"/>
      <c r="BC142" s="171"/>
      <c r="BD142" s="171"/>
      <c r="BE142" s="171"/>
      <c r="BF142" s="480"/>
      <c r="BG142" s="171"/>
      <c r="BH142" s="171"/>
      <c r="BI142" s="171"/>
      <c r="BJ142" s="171"/>
      <c r="BK142" s="480"/>
      <c r="BL142" s="171"/>
      <c r="BM142" s="171"/>
      <c r="BN142" s="171"/>
      <c r="BO142" s="171"/>
      <c r="BP142" s="480"/>
      <c r="BQ142" s="171"/>
      <c r="BR142" s="171"/>
      <c r="BS142" s="171"/>
      <c r="BT142" s="171"/>
      <c r="BU142" s="480"/>
      <c r="BV142" s="171"/>
      <c r="BW142" s="171"/>
      <c r="BX142" s="171"/>
      <c r="BY142" s="171"/>
      <c r="BZ142" s="480"/>
      <c r="CA142" s="171"/>
      <c r="CB142" s="171"/>
      <c r="CC142" s="171"/>
      <c r="CD142" s="171"/>
      <c r="CE142" s="480"/>
    </row>
    <row r="143" spans="2:83" ht="5.25" customHeight="1">
      <c r="B143" s="420"/>
      <c r="C143" s="42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426"/>
      <c r="S143" s="171"/>
      <c r="T143" s="171"/>
      <c r="U143" s="171"/>
      <c r="V143" s="171"/>
      <c r="W143" s="480"/>
      <c r="X143" s="171"/>
      <c r="Y143" s="171"/>
      <c r="Z143" s="171"/>
      <c r="AA143" s="171"/>
      <c r="AB143" s="480"/>
      <c r="AC143" s="171"/>
      <c r="AD143" s="171"/>
      <c r="AE143" s="171"/>
      <c r="AF143" s="426"/>
      <c r="AG143" s="480"/>
      <c r="AH143" s="426"/>
      <c r="AI143" s="426"/>
      <c r="AJ143" s="426"/>
      <c r="AK143" s="426"/>
      <c r="AL143" s="480"/>
      <c r="AM143" s="426"/>
      <c r="AN143" s="426"/>
      <c r="AO143" s="426"/>
      <c r="AP143" s="426"/>
      <c r="AQ143" s="480"/>
      <c r="AR143" s="171"/>
      <c r="AS143" s="171"/>
      <c r="AT143" s="171"/>
      <c r="AU143" s="171"/>
      <c r="AV143" s="480"/>
      <c r="AW143" s="171"/>
      <c r="AX143" s="171"/>
      <c r="AY143" s="171"/>
      <c r="AZ143" s="171"/>
      <c r="BA143" s="480"/>
      <c r="BB143" s="171"/>
      <c r="BC143" s="171"/>
      <c r="BD143" s="171"/>
      <c r="BE143" s="171"/>
      <c r="BF143" s="480"/>
      <c r="BG143" s="171"/>
      <c r="BH143" s="171"/>
      <c r="BI143" s="171"/>
      <c r="BJ143" s="171"/>
      <c r="BK143" s="480"/>
      <c r="BL143" s="171"/>
      <c r="BM143" s="171"/>
      <c r="BN143" s="171"/>
      <c r="BO143" s="171"/>
      <c r="BP143" s="480"/>
      <c r="BQ143" s="171"/>
      <c r="BR143" s="171"/>
      <c r="BS143" s="171"/>
      <c r="BT143" s="171"/>
      <c r="BU143" s="480"/>
      <c r="BV143" s="171"/>
      <c r="BW143" s="171"/>
      <c r="BX143" s="171"/>
      <c r="BY143" s="171"/>
      <c r="BZ143" s="480"/>
      <c r="CA143" s="171"/>
      <c r="CB143" s="171"/>
      <c r="CC143" s="171"/>
      <c r="CD143" s="171"/>
      <c r="CE143" s="480"/>
    </row>
    <row r="144" spans="2:83" ht="12.6" customHeight="1">
      <c r="B144" s="420"/>
      <c r="C144" s="425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426"/>
      <c r="S144" s="171"/>
      <c r="T144" s="171"/>
      <c r="U144" s="171"/>
      <c r="V144" s="171"/>
      <c r="W144" s="480"/>
      <c r="X144" s="171"/>
      <c r="Y144" s="171"/>
      <c r="Z144" s="171"/>
      <c r="AA144" s="171"/>
      <c r="AB144" s="480"/>
      <c r="AC144" s="171"/>
      <c r="AD144" s="171"/>
      <c r="AE144" s="171"/>
      <c r="AF144" s="426"/>
      <c r="AG144" s="480"/>
      <c r="AH144" s="426"/>
      <c r="AI144" s="426"/>
      <c r="AJ144" s="426"/>
      <c r="AK144" s="426"/>
      <c r="AL144" s="480"/>
      <c r="AM144" s="426"/>
      <c r="AN144" s="426"/>
      <c r="AO144" s="426"/>
      <c r="AP144" s="426"/>
      <c r="AQ144" s="480"/>
      <c r="AR144" s="171"/>
      <c r="AS144" s="171"/>
      <c r="AT144" s="171"/>
      <c r="AU144" s="171"/>
      <c r="AV144" s="480"/>
      <c r="AW144" s="171"/>
      <c r="AX144" s="171"/>
      <c r="AY144" s="171"/>
      <c r="AZ144" s="171"/>
      <c r="BA144" s="480"/>
      <c r="BB144" s="171"/>
      <c r="BC144" s="171"/>
      <c r="BD144" s="171"/>
      <c r="BE144" s="171"/>
      <c r="BF144" s="480"/>
      <c r="BG144" s="171"/>
      <c r="BH144" s="171"/>
      <c r="BI144" s="171"/>
      <c r="BJ144" s="171"/>
      <c r="BK144" s="480"/>
      <c r="BL144" s="171"/>
      <c r="BM144" s="171"/>
      <c r="BN144" s="171"/>
      <c r="BO144" s="171"/>
      <c r="BP144" s="480"/>
      <c r="BQ144" s="171"/>
      <c r="BR144" s="171"/>
      <c r="BS144" s="171"/>
      <c r="BT144" s="171"/>
      <c r="BU144" s="480"/>
      <c r="BV144" s="171"/>
      <c r="BW144" s="171"/>
      <c r="BX144" s="171"/>
      <c r="BY144" s="171"/>
      <c r="BZ144" s="480"/>
      <c r="CA144" s="171"/>
      <c r="CB144" s="171"/>
      <c r="CC144" s="171"/>
      <c r="CD144" s="171"/>
      <c r="CE144" s="480"/>
    </row>
    <row r="145" spans="2:83" ht="13.15">
      <c r="B145" s="415" t="s">
        <v>5</v>
      </c>
      <c r="C145" s="415"/>
      <c r="D145" s="216"/>
      <c r="E145" s="216"/>
      <c r="F145" s="216"/>
      <c r="G145" s="216"/>
      <c r="H145" s="216"/>
      <c r="I145" s="216"/>
      <c r="J145" s="216"/>
      <c r="K145" s="216"/>
      <c r="L145" s="216"/>
      <c r="M145" s="216"/>
      <c r="N145" s="216"/>
      <c r="O145" s="216"/>
      <c r="P145" s="216"/>
      <c r="Q145" s="216"/>
      <c r="R145" s="427"/>
      <c r="S145" s="216"/>
      <c r="T145" s="216"/>
      <c r="U145" s="216"/>
      <c r="V145" s="216"/>
      <c r="W145" s="481"/>
      <c r="X145" s="216"/>
      <c r="Y145" s="216"/>
      <c r="Z145" s="216"/>
      <c r="AA145" s="216"/>
      <c r="AB145" s="481"/>
      <c r="AC145" s="216"/>
      <c r="AD145" s="216"/>
      <c r="AE145" s="216"/>
      <c r="AF145" s="427"/>
      <c r="AG145" s="481"/>
      <c r="AH145" s="427"/>
      <c r="AI145" s="427"/>
      <c r="AJ145" s="427"/>
      <c r="AK145" s="427"/>
      <c r="AL145" s="481"/>
      <c r="AM145" s="427"/>
      <c r="AN145" s="427"/>
      <c r="AO145" s="427"/>
      <c r="AP145" s="427"/>
      <c r="AQ145" s="481"/>
      <c r="AR145" s="216"/>
      <c r="AS145" s="216"/>
      <c r="AT145" s="216"/>
      <c r="AU145" s="216"/>
      <c r="AV145" s="481"/>
      <c r="AW145" s="216"/>
      <c r="AX145" s="216"/>
      <c r="AY145" s="216"/>
      <c r="AZ145" s="216"/>
      <c r="BA145" s="481"/>
      <c r="BB145" s="216"/>
      <c r="BC145" s="216"/>
      <c r="BD145" s="216"/>
      <c r="BE145" s="216"/>
      <c r="BF145" s="481"/>
      <c r="BG145" s="216"/>
      <c r="BH145" s="216"/>
      <c r="BI145" s="216"/>
      <c r="BJ145" s="216"/>
      <c r="BK145" s="481"/>
      <c r="BL145" s="216"/>
      <c r="BM145" s="216"/>
      <c r="BN145" s="216"/>
      <c r="BO145" s="216"/>
      <c r="BP145" s="481"/>
      <c r="BQ145" s="216"/>
      <c r="BR145" s="216"/>
      <c r="BS145" s="216"/>
      <c r="BT145" s="216"/>
      <c r="BU145" s="481"/>
      <c r="BV145" s="216"/>
      <c r="BW145" s="216"/>
      <c r="BX145" s="216"/>
      <c r="BY145" s="216"/>
      <c r="BZ145" s="481"/>
      <c r="CA145" s="216"/>
      <c r="CB145" s="216"/>
      <c r="CC145" s="216"/>
      <c r="CD145" s="216"/>
      <c r="CE145" s="481"/>
    </row>
    <row r="146" spans="2:83" ht="12.6" customHeight="1">
      <c r="B146" s="420" t="s">
        <v>16</v>
      </c>
      <c r="C146" s="407"/>
      <c r="D146" s="171"/>
      <c r="E146" s="171"/>
      <c r="F146" s="171"/>
      <c r="G146" s="171"/>
      <c r="H146" s="171"/>
      <c r="I146" s="171">
        <f>+(I$21/D$21)-1</f>
        <v>2.7458106198263499E-2</v>
      </c>
      <c r="J146" s="171">
        <f t="shared" ref="J146:AL146" si="603">+(J$21/E$21)-1</f>
        <v>1.5264109258887437E-2</v>
      </c>
      <c r="K146" s="171">
        <f t="shared" si="603"/>
        <v>-2.2407822367080943E-3</v>
      </c>
      <c r="L146" s="171">
        <f t="shared" si="603"/>
        <v>0.19372063220845814</v>
      </c>
      <c r="M146" s="171">
        <f t="shared" si="603"/>
        <v>5.675357270911241E-2</v>
      </c>
      <c r="N146" s="171">
        <f t="shared" si="603"/>
        <v>0.17292198860286923</v>
      </c>
      <c r="O146" s="171">
        <f t="shared" si="603"/>
        <v>0.16597428288822913</v>
      </c>
      <c r="P146" s="171">
        <f t="shared" si="603"/>
        <v>0.20273581053491219</v>
      </c>
      <c r="Q146" s="171">
        <f t="shared" si="603"/>
        <v>9.0713902308104943E-2</v>
      </c>
      <c r="R146" s="426">
        <f t="shared" si="603"/>
        <v>0.15602733750181774</v>
      </c>
      <c r="S146" s="171">
        <f t="shared" si="603"/>
        <v>4.8584352487854865E-3</v>
      </c>
      <c r="T146" s="171">
        <f t="shared" si="603"/>
        <v>2.9351883271123258E-2</v>
      </c>
      <c r="U146" s="171">
        <f t="shared" si="603"/>
        <v>6.433542692242411E-2</v>
      </c>
      <c r="V146" s="171">
        <f t="shared" si="603"/>
        <v>1.3779527559055094E-2</v>
      </c>
      <c r="W146" s="480">
        <f t="shared" si="603"/>
        <v>2.7882599580712819E-2</v>
      </c>
      <c r="X146" s="171">
        <f t="shared" si="603"/>
        <v>9.0196732244081312E-2</v>
      </c>
      <c r="Y146" s="171">
        <f t="shared" si="603"/>
        <v>0.26091972968518218</v>
      </c>
      <c r="Z146" s="171">
        <f t="shared" si="603"/>
        <v>0.24720893141945766</v>
      </c>
      <c r="AA146" s="171">
        <f t="shared" si="603"/>
        <v>0.22653721682847894</v>
      </c>
      <c r="AB146" s="480">
        <f t="shared" si="603"/>
        <v>0.20697532123189877</v>
      </c>
      <c r="AC146" s="171">
        <f t="shared" si="603"/>
        <v>0.31549166539226192</v>
      </c>
      <c r="AD146" s="171">
        <f t="shared" si="603"/>
        <v>0.17908496732026147</v>
      </c>
      <c r="AE146" s="171">
        <f t="shared" si="603"/>
        <v>0.20063938618925836</v>
      </c>
      <c r="AF146" s="426">
        <f t="shared" si="603"/>
        <v>0.29907651715039574</v>
      </c>
      <c r="AG146" s="480">
        <f t="shared" si="603"/>
        <v>0.24566561898002637</v>
      </c>
      <c r="AH146" s="426">
        <f t="shared" si="603"/>
        <v>0.24029295512671478</v>
      </c>
      <c r="AI146" s="426">
        <f t="shared" si="603"/>
        <v>0.23159645232815973</v>
      </c>
      <c r="AJ146" s="426">
        <f t="shared" si="603"/>
        <v>0.12109915858983911</v>
      </c>
      <c r="AK146" s="426">
        <f t="shared" si="603"/>
        <v>0.19244439930943424</v>
      </c>
      <c r="AL146" s="480">
        <f t="shared" si="603"/>
        <v>0.19501872049487212</v>
      </c>
      <c r="AM146" s="426">
        <f t="shared" ref="AM146" si="604">+(AM$21/AH$21)-1</f>
        <v>0.24454025681882086</v>
      </c>
      <c r="AN146" s="426">
        <f t="shared" ref="AN146" si="605">+(AN$21/AI$21)-1</f>
        <v>0.25249797461517698</v>
      </c>
      <c r="AO146" s="426">
        <f t="shared" ref="AO146" si="606">+(AO$21/AJ$21)-1</f>
        <v>0.33412502375071251</v>
      </c>
      <c r="AP146" s="426">
        <f t="shared" ref="AP146" si="607">+(AP$21/AK$21)-1</f>
        <v>0.23547947538749781</v>
      </c>
      <c r="AQ146" s="480">
        <f t="shared" ref="AQ146" si="608">+(AQ$21/AL$21)-1</f>
        <v>0.26554057122099617</v>
      </c>
      <c r="AR146" s="171">
        <f t="shared" ref="AR146" si="609">+(AR$21/AM$21)-1</f>
        <v>9.3613496008434938E-2</v>
      </c>
      <c r="AS146" s="171">
        <f t="shared" ref="AS146" si="610">+(AS$21/AN$21)-1</f>
        <v>6.223947103636629E-2</v>
      </c>
      <c r="AT146" s="171">
        <f t="shared" ref="AT146" si="611">+(AT$21/AO$21)-1</f>
        <v>4.2654703410952122E-2</v>
      </c>
      <c r="AU146" s="171">
        <f t="shared" ref="AU146" si="612">+(AU$21/AP$21)-1</f>
        <v>3.4190390845798557E-2</v>
      </c>
      <c r="AV146" s="480">
        <f t="shared" ref="AV146" si="613">+(AV$21/AQ$21)-1</f>
        <v>5.7479100139930406E-2</v>
      </c>
      <c r="AW146" s="171">
        <f t="shared" ref="AW146" si="614">+(AW$21/AR$21)-1</f>
        <v>6.8039391226499601E-2</v>
      </c>
      <c r="AX146" s="171">
        <f t="shared" ref="AX146" si="615">+(AX$21/AS$21)-1</f>
        <v>0.16359945872801074</v>
      </c>
      <c r="AY146" s="171">
        <f t="shared" ref="AY146" si="616">+(AY$21/AT$21)-1</f>
        <v>0.26813276874743885</v>
      </c>
      <c r="AZ146" s="171">
        <f t="shared" ref="AZ146" si="617">+(AZ$21/AU$21)-1</f>
        <v>0.27201226421382385</v>
      </c>
      <c r="BA146" s="480">
        <f t="shared" ref="BA146" si="618">+(BA$21/AV$21)-1</f>
        <v>0.19361788755810405</v>
      </c>
      <c r="BB146" s="171">
        <f t="shared" ref="BB146" si="619">+(BB$21/AW$21)-1</f>
        <v>0.27248694306531696</v>
      </c>
      <c r="BC146" s="171">
        <f t="shared" ref="BC146" si="620">+(BC$21/AX$21)-1</f>
        <v>0.2356087917199674</v>
      </c>
      <c r="BD146" s="171">
        <f t="shared" ref="BD146" si="621">+(BD$21/AY$21)-1</f>
        <v>0.19328953037483854</v>
      </c>
      <c r="BE146" s="171">
        <f t="shared" ref="BE146" si="622">+(BE$21/AZ$21)-1</f>
        <v>0.21588765457975256</v>
      </c>
      <c r="BF146" s="480">
        <f t="shared" ref="BF146" si="623">+(BF$21/BA$21)-1</f>
        <v>0.22722039824329521</v>
      </c>
      <c r="BG146" s="171">
        <f t="shared" ref="BG146" si="624">+(BG$21/BB$21)-1</f>
        <v>0.1558145426906512</v>
      </c>
      <c r="BH146" s="171">
        <f t="shared" ref="BH146" si="625">+(BH$21/BC$21)-1</f>
        <v>4.9223529411764666E-2</v>
      </c>
      <c r="BI146" s="171">
        <f t="shared" ref="BI146" si="626">+(BI$21/BD$21)-1</f>
        <v>-3.2044049284650766E-3</v>
      </c>
      <c r="BJ146" s="171">
        <f t="shared" ref="BJ146" si="627">+(BJ$21/BE$21)-1</f>
        <v>-4.8052059989657003E-2</v>
      </c>
      <c r="BK146" s="480">
        <f t="shared" ref="BK146" si="628">+(BK$21/BF$21)-1</f>
        <v>3.3991151877330816E-2</v>
      </c>
      <c r="BL146" s="171">
        <f t="shared" ref="BL146" si="629">+(BL$21/BG$21)-1</f>
        <v>-2.6654975887768551E-2</v>
      </c>
      <c r="BM146" s="171">
        <f t="shared" ref="BM146" si="630">+(BM$21/BH$21)-1</f>
        <v>-1.6236096160746283E-2</v>
      </c>
      <c r="BN146" s="171">
        <f t="shared" ref="BN146" si="631">+(BN$21/BI$21)-1</f>
        <v>6.1169971927918176E-2</v>
      </c>
      <c r="BO146" s="171">
        <f t="shared" ref="BO146" si="632">+(BO$21/BJ$21)-1</f>
        <v>4.2374032323781119E-2</v>
      </c>
      <c r="BP146" s="480">
        <f t="shared" ref="BP146" si="633">+(BP$21/BK$21)-1</f>
        <v>1.4751178862243863E-2</v>
      </c>
      <c r="BQ146" s="171">
        <f t="shared" ref="BQ146" si="634">+(BQ$21/BL$21)-1</f>
        <v>8.3235744527520028E-2</v>
      </c>
      <c r="BR146" s="171">
        <f t="shared" ref="BR146" si="635">+(BR$21/BM$21)-1</f>
        <v>0.15282210267165142</v>
      </c>
      <c r="BS146" s="171">
        <f t="shared" ref="BS146" si="636">+(BS$21/BN$21)-1</f>
        <v>1.2074924265051079E-2</v>
      </c>
      <c r="BT146" s="171">
        <f t="shared" ref="BT146" si="637">+(BT$21/BO$21)-1</f>
        <v>4.9598262757871936E-2</v>
      </c>
      <c r="BU146" s="480">
        <f t="shared" ref="BU146" si="638">+(BU$21/BP$21)-1</f>
        <v>7.3125234552639196E-2</v>
      </c>
      <c r="BV146" s="171">
        <f t="shared" ref="BV146" si="639">+(BV$21/BQ$21)-1</f>
        <v>4.505945945945955E-2</v>
      </c>
      <c r="BW146" s="171">
        <f t="shared" ref="BW146" si="640">+(BW$21/BR$21)-1</f>
        <v>6.3554441192755107E-2</v>
      </c>
      <c r="BX146" s="171">
        <f t="shared" ref="BX146" si="641">+(BX$21/BS$21)-1</f>
        <v>0.20179678988195637</v>
      </c>
      <c r="BY146" s="171">
        <f t="shared" ref="BY146" si="642">+(BY$21/BT$21)-1</f>
        <v>0.23854640000000016</v>
      </c>
      <c r="BZ146" s="480">
        <f t="shared" ref="BZ146" si="643">+(BZ$21/BU$21)-1</f>
        <v>0.13620530434979394</v>
      </c>
      <c r="CA146" s="171">
        <f t="shared" ref="CA146" si="644">+(CA$21/BV$21)-1</f>
        <v>0.15518270000000012</v>
      </c>
      <c r="CB146" s="171">
        <f t="shared" ref="CB146" si="645">+(CB$21/BW$21)-1</f>
        <v>7.9610000000000181E-2</v>
      </c>
      <c r="CC146" s="171">
        <f t="shared" ref="CC146" si="646">+(CC$21/BX$21)-1</f>
        <v>8.3150000000000723E-3</v>
      </c>
      <c r="CD146" s="171">
        <f t="shared" ref="CD146" si="647">+(CD$21/BY$21)-1</f>
        <v>-3.009700000000004E-2</v>
      </c>
      <c r="CE146" s="480">
        <f t="shared" ref="CE146" si="648">+(CE$21/BZ$21)-1</f>
        <v>4.8679886221277613E-2</v>
      </c>
    </row>
    <row r="147" spans="2:83" ht="7.5" customHeight="1">
      <c r="B147" s="420"/>
      <c r="C147" s="407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426"/>
      <c r="S147" s="171"/>
      <c r="T147" s="171"/>
      <c r="U147" s="171"/>
      <c r="V147" s="171"/>
      <c r="W147" s="480"/>
      <c r="X147" s="171"/>
      <c r="Y147" s="171"/>
      <c r="Z147" s="171"/>
      <c r="AA147" s="171"/>
      <c r="AB147" s="480"/>
      <c r="AC147" s="171"/>
      <c r="AD147" s="171"/>
      <c r="AE147" s="171"/>
      <c r="AF147" s="426"/>
      <c r="AG147" s="480"/>
      <c r="AH147" s="426"/>
      <c r="AI147" s="426"/>
      <c r="AJ147" s="426"/>
      <c r="AK147" s="426"/>
      <c r="AL147" s="480"/>
      <c r="AM147" s="426"/>
      <c r="AN147" s="426"/>
      <c r="AO147" s="426"/>
      <c r="AP147" s="426"/>
      <c r="AQ147" s="480"/>
      <c r="AR147" s="171"/>
      <c r="AS147" s="171"/>
      <c r="AT147" s="171"/>
      <c r="AU147" s="171"/>
      <c r="AV147" s="480"/>
      <c r="AW147" s="171"/>
      <c r="AX147" s="171"/>
      <c r="AY147" s="171"/>
      <c r="AZ147" s="171"/>
      <c r="BA147" s="480"/>
      <c r="BB147" s="171"/>
      <c r="BC147" s="171"/>
      <c r="BD147" s="171"/>
      <c r="BE147" s="171"/>
      <c r="BF147" s="480"/>
      <c r="BG147" s="171"/>
      <c r="BH147" s="171"/>
      <c r="BI147" s="171"/>
      <c r="BJ147" s="171"/>
      <c r="BK147" s="480"/>
      <c r="BL147" s="171"/>
      <c r="BM147" s="171"/>
      <c r="BN147" s="171"/>
      <c r="BO147" s="171"/>
      <c r="BP147" s="480"/>
      <c r="BQ147" s="171"/>
      <c r="BR147" s="171"/>
      <c r="BS147" s="171"/>
      <c r="BT147" s="171"/>
      <c r="BU147" s="480"/>
      <c r="BV147" s="171"/>
      <c r="BW147" s="171"/>
      <c r="BX147" s="171"/>
      <c r="BY147" s="171"/>
      <c r="BZ147" s="480"/>
      <c r="CA147" s="171"/>
      <c r="CB147" s="171"/>
      <c r="CC147" s="171"/>
      <c r="CD147" s="171"/>
      <c r="CE147" s="480"/>
    </row>
    <row r="148" spans="2:83" ht="12.6" customHeight="1">
      <c r="B148" s="420"/>
      <c r="C148" s="429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426"/>
      <c r="S148" s="171"/>
      <c r="T148" s="171"/>
      <c r="U148" s="171"/>
      <c r="V148" s="171"/>
      <c r="W148" s="480"/>
      <c r="X148" s="171"/>
      <c r="Y148" s="171"/>
      <c r="Z148" s="171"/>
      <c r="AA148" s="171"/>
      <c r="AB148" s="480"/>
      <c r="AC148" s="171"/>
      <c r="AD148" s="171"/>
      <c r="AE148" s="171"/>
      <c r="AF148" s="426"/>
      <c r="AG148" s="480"/>
      <c r="AH148" s="426"/>
      <c r="AI148" s="426"/>
      <c r="AJ148" s="426"/>
      <c r="AK148" s="426"/>
      <c r="AL148" s="480"/>
      <c r="AM148" s="426"/>
      <c r="AN148" s="426"/>
      <c r="AO148" s="426"/>
      <c r="AP148" s="426"/>
      <c r="AQ148" s="480"/>
      <c r="AR148" s="171"/>
      <c r="AS148" s="171"/>
      <c r="AT148" s="171"/>
      <c r="AU148" s="171"/>
      <c r="AV148" s="480"/>
      <c r="AW148" s="171"/>
      <c r="AX148" s="171"/>
      <c r="AY148" s="171"/>
      <c r="AZ148" s="171"/>
      <c r="BA148" s="480"/>
      <c r="BB148" s="171"/>
      <c r="BC148" s="171"/>
      <c r="BD148" s="171"/>
      <c r="BE148" s="171"/>
      <c r="BF148" s="480"/>
      <c r="BG148" s="171"/>
      <c r="BH148" s="171"/>
      <c r="BI148" s="171"/>
      <c r="BJ148" s="171"/>
      <c r="BK148" s="480"/>
      <c r="BL148" s="171"/>
      <c r="BM148" s="171"/>
      <c r="BN148" s="171"/>
      <c r="BO148" s="171"/>
      <c r="BP148" s="480"/>
      <c r="BQ148" s="171"/>
      <c r="BR148" s="171"/>
      <c r="BS148" s="171"/>
      <c r="BT148" s="171"/>
      <c r="BU148" s="480"/>
      <c r="BV148" s="171"/>
      <c r="BW148" s="171"/>
      <c r="BX148" s="171"/>
      <c r="BY148" s="171"/>
      <c r="BZ148" s="480"/>
      <c r="CA148" s="171"/>
      <c r="CB148" s="171"/>
      <c r="CC148" s="171"/>
      <c r="CD148" s="171"/>
      <c r="CE148" s="480"/>
    </row>
    <row r="149" spans="2:83" ht="12.6" customHeight="1">
      <c r="B149" s="420" t="s">
        <v>118</v>
      </c>
      <c r="C149" s="429"/>
      <c r="D149" s="171"/>
      <c r="E149" s="171"/>
      <c r="F149" s="171"/>
      <c r="G149" s="171"/>
      <c r="H149" s="171"/>
      <c r="I149" s="171">
        <f>+(I$26/D$26)-1</f>
        <v>9.2627390295125567E-2</v>
      </c>
      <c r="J149" s="171">
        <f t="shared" ref="J149:AL149" si="649">+(J$26/E$26)-1</f>
        <v>5.5508653440270228E-2</v>
      </c>
      <c r="K149" s="171">
        <f t="shared" si="649"/>
        <v>0.18939393939393945</v>
      </c>
      <c r="L149" s="171">
        <f t="shared" si="649"/>
        <v>0.17032910347673669</v>
      </c>
      <c r="M149" s="171">
        <f t="shared" si="649"/>
        <v>0.12587279074841806</v>
      </c>
      <c r="N149" s="171">
        <f t="shared" si="649"/>
        <v>0.20576631259484057</v>
      </c>
      <c r="O149" s="171">
        <f t="shared" si="649"/>
        <v>0.11247750449910021</v>
      </c>
      <c r="P149" s="171">
        <f t="shared" si="649"/>
        <v>0.11594347133757954</v>
      </c>
      <c r="Q149" s="171">
        <f t="shared" si="649"/>
        <v>3.4379407616358382E-3</v>
      </c>
      <c r="R149" s="426">
        <f t="shared" si="649"/>
        <v>0.10569538990770133</v>
      </c>
      <c r="S149" s="171">
        <f t="shared" si="649"/>
        <v>-0.1079788572866851</v>
      </c>
      <c r="T149" s="171">
        <f t="shared" si="649"/>
        <v>6.0124022647613851E-2</v>
      </c>
      <c r="U149" s="171">
        <f t="shared" si="649"/>
        <v>4.8158387585837126E-3</v>
      </c>
      <c r="V149" s="171">
        <f t="shared" si="649"/>
        <v>5.48185891241324E-2</v>
      </c>
      <c r="W149" s="480">
        <f t="shared" si="649"/>
        <v>1.3145786775339285E-3</v>
      </c>
      <c r="X149" s="171">
        <f t="shared" si="649"/>
        <v>0.19300225733634302</v>
      </c>
      <c r="Y149" s="171">
        <f t="shared" si="649"/>
        <v>0.10732451678535115</v>
      </c>
      <c r="Z149" s="171">
        <f t="shared" si="649"/>
        <v>0.19100026626431177</v>
      </c>
      <c r="AA149" s="171">
        <f t="shared" si="649"/>
        <v>0.1605729990838678</v>
      </c>
      <c r="AB149" s="480">
        <f t="shared" si="649"/>
        <v>0.16187475384009442</v>
      </c>
      <c r="AC149" s="171">
        <f t="shared" si="649"/>
        <v>0.17707347839798171</v>
      </c>
      <c r="AD149" s="171">
        <f t="shared" si="649"/>
        <v>9.1257081610779167E-2</v>
      </c>
      <c r="AE149" s="171">
        <f t="shared" si="649"/>
        <v>6.1479991057455941E-2</v>
      </c>
      <c r="AF149" s="426">
        <f t="shared" si="649"/>
        <v>0.11898098313598848</v>
      </c>
      <c r="AG149" s="480">
        <f t="shared" si="649"/>
        <v>0.11150659133709984</v>
      </c>
      <c r="AH149" s="426">
        <f t="shared" si="649"/>
        <v>-2.2304085733422685E-2</v>
      </c>
      <c r="AI149" s="426">
        <f t="shared" si="649"/>
        <v>0.14381927879893364</v>
      </c>
      <c r="AJ149" s="426">
        <f t="shared" si="649"/>
        <v>5.7568098848637117E-3</v>
      </c>
      <c r="AK149" s="426">
        <f t="shared" si="649"/>
        <v>0.17745142050920282</v>
      </c>
      <c r="AL149" s="480">
        <f t="shared" si="649"/>
        <v>7.7362294776435414E-2</v>
      </c>
      <c r="AM149" s="426">
        <f t="shared" ref="AM149" si="650">+(AM$26/AH$26)-1</f>
        <v>0.11303692539562915</v>
      </c>
      <c r="AN149" s="426">
        <f t="shared" ref="AN149" si="651">+(AN$26/AI$26)-1</f>
        <v>-1.2634936211972536E-2</v>
      </c>
      <c r="AO149" s="426">
        <f t="shared" ref="AO149" si="652">+(AO$26/AJ$26)-1</f>
        <v>8.5439061845595354E-2</v>
      </c>
      <c r="AP149" s="426">
        <f t="shared" ref="AP149" si="653">+(AP$26/AK$26)-1</f>
        <v>-2.2385620915032711E-2</v>
      </c>
      <c r="AQ149" s="480">
        <f t="shared" ref="AQ149" si="654">+(AQ$26/AL$26)-1</f>
        <v>3.5494676584836515E-2</v>
      </c>
      <c r="AR149" s="171">
        <f t="shared" ref="AR149" si="655">+(AR$26/AM$26)-1</f>
        <v>2.6035575798609045E-2</v>
      </c>
      <c r="AS149" s="171">
        <f t="shared" ref="AS149" si="656">+(AS$26/AN$26)-1</f>
        <v>-0.11355447881724434</v>
      </c>
      <c r="AT149" s="171">
        <f t="shared" ref="AT149" si="657">+(AT$26/AO$26)-1</f>
        <v>-4.610932475884244E-2</v>
      </c>
      <c r="AU149" s="171">
        <f t="shared" ref="AU149" si="658">+(AU$26/AP$26)-1</f>
        <v>-8.5854365145690559E-2</v>
      </c>
      <c r="AV149" s="480">
        <f t="shared" ref="AV149" si="659">+(AV$26/AQ$26)-1</f>
        <v>-5.5631492618917422E-2</v>
      </c>
      <c r="AW149" s="171">
        <f t="shared" ref="AW149" si="660">+(AW$26/AR$26)-1</f>
        <v>-1.8536292741451743E-2</v>
      </c>
      <c r="AX149" s="171">
        <f t="shared" ref="AX149" si="661">+(AX$26/AS$26)-1</f>
        <v>0.16916608269096001</v>
      </c>
      <c r="AY149" s="171">
        <f t="shared" ref="AY149" si="662">+(AY$26/AT$26)-1</f>
        <v>0.14117171172385889</v>
      </c>
      <c r="AZ149" s="171">
        <f t="shared" ref="AZ149" si="663">+(AZ$26/AU$26)-1</f>
        <v>0.23061921014139442</v>
      </c>
      <c r="BA149" s="480">
        <f t="shared" ref="BA149" si="664">+(BA$26/AV$26)-1</f>
        <v>0.1283832682008974</v>
      </c>
      <c r="BB149" s="171">
        <f t="shared" ref="BB149" si="665">+(BB$26/AW$26)-1</f>
        <v>0.10696167715909777</v>
      </c>
      <c r="BC149" s="171">
        <f t="shared" ref="BC149" si="666">+(BC$26/AX$26)-1</f>
        <v>0.27906976744186052</v>
      </c>
      <c r="BD149" s="171">
        <f t="shared" ref="BD149" si="667">+(BD$26/AY$26)-1</f>
        <v>0.33230932829207771</v>
      </c>
      <c r="BE149" s="171">
        <f t="shared" ref="BE149" si="668">+(BE$26/AZ$26)-1</f>
        <v>0.25272385103011086</v>
      </c>
      <c r="BF149" s="480">
        <f t="shared" ref="BF149" si="669">+(BF$26/BA$26)-1</f>
        <v>0.2441993044866313</v>
      </c>
      <c r="BG149" s="171">
        <f t="shared" ref="BG149" si="670">+(BG$26/BB$26)-1</f>
        <v>0.27955386229363377</v>
      </c>
      <c r="BH149" s="171">
        <f t="shared" ref="BH149" si="671">+(BH$26/BC$26)-1</f>
        <v>9.3908153701968144E-2</v>
      </c>
      <c r="BI149" s="171">
        <f t="shared" ref="BI149" si="672">+(BI$26/BD$26)-1</f>
        <v>9.3118126995388462E-2</v>
      </c>
      <c r="BJ149" s="171">
        <f t="shared" ref="BJ149" si="673">+(BJ$26/BE$26)-1</f>
        <v>0.11828424589839881</v>
      </c>
      <c r="BK149" s="480">
        <f t="shared" ref="BK149" si="674">+(BK$26/BF$26)-1</f>
        <v>0.13928154138697346</v>
      </c>
      <c r="BL149" s="171">
        <f t="shared" ref="BL149" si="675">+(BL$26/BG$26)-1</f>
        <v>0.10766376111159048</v>
      </c>
      <c r="BM149" s="171">
        <f t="shared" ref="BM149" si="676">+(BM$26/BH$26)-1</f>
        <v>0.22147018505825899</v>
      </c>
      <c r="BN149" s="171">
        <f t="shared" ref="BN149" si="677">+(BN$26/BI$26)-1</f>
        <v>0.17787603439883171</v>
      </c>
      <c r="BO149" s="171">
        <f t="shared" ref="BO149" si="678">+(BO$26/BJ$26)-1</f>
        <v>7.4451161310849612E-2</v>
      </c>
      <c r="BP149" s="480">
        <f t="shared" ref="BP149" si="679">+(BP$26/BK$26)-1</f>
        <v>0.14233286747036411</v>
      </c>
      <c r="BQ149" s="171">
        <f t="shared" ref="BQ149" si="680">+(BQ$26/BL$26)-1</f>
        <v>0.14768787253106863</v>
      </c>
      <c r="BR149" s="171">
        <f t="shared" ref="BR149" si="681">+(BR$26/BM$26)-1</f>
        <v>0.14775198148278035</v>
      </c>
      <c r="BS149" s="171">
        <f t="shared" ref="BS149" si="682">+(BS$26/BN$26)-1</f>
        <v>9.4810069910803429E-2</v>
      </c>
      <c r="BT149" s="171">
        <f t="shared" ref="BT149" si="683">+(BT$26/BO$26)-1</f>
        <v>0.17530352383772585</v>
      </c>
      <c r="BU149" s="480">
        <f t="shared" ref="BU149" si="684">+(BU$26/BP$26)-1</f>
        <v>0.14157710825345693</v>
      </c>
      <c r="BV149" s="171">
        <f t="shared" ref="BV149" si="685">+(BV$26/BQ$26)-1</f>
        <v>0.22465071283095717</v>
      </c>
      <c r="BW149" s="171">
        <f t="shared" ref="BW149" si="686">+(BW$26/BR$26)-1</f>
        <v>0.15751888349069576</v>
      </c>
      <c r="BX149" s="171">
        <f t="shared" ref="BX149" si="687">+(BX$26/BS$26)-1</f>
        <v>0.21546910695187149</v>
      </c>
      <c r="BY149" s="171">
        <f t="shared" ref="BY149" si="688">+(BY$26/BT$26)-1</f>
        <v>0.15742970000000001</v>
      </c>
      <c r="BZ149" s="480">
        <f t="shared" ref="BZ149" si="689">+(BZ$26/BU$26)-1</f>
        <v>0.18694690530077573</v>
      </c>
      <c r="CA149" s="171">
        <f t="shared" ref="CA149" si="690">+(CA$26/BV$26)-1</f>
        <v>0.10013119999999986</v>
      </c>
      <c r="CB149" s="171">
        <f t="shared" ref="CB149" si="691">+(CB$26/BW$26)-1</f>
        <v>6.8698879999999907E-2</v>
      </c>
      <c r="CC149" s="171">
        <f t="shared" ref="CC149" si="692">+(CC$26/BX$26)-1</f>
        <v>5.8221440000000069E-2</v>
      </c>
      <c r="CD149" s="171">
        <f t="shared" ref="CD149" si="693">+(CD$26/BY$26)-1</f>
        <v>8.7718400000000862E-3</v>
      </c>
      <c r="CE149" s="480">
        <f t="shared" ref="CE149" si="694">+(CE$26/BZ$26)-1</f>
        <v>5.7341029284199152E-2</v>
      </c>
    </row>
    <row r="150" spans="2:83" ht="12.6" customHeight="1">
      <c r="B150" s="420"/>
      <c r="C150" s="429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426"/>
      <c r="S150" s="171"/>
      <c r="T150" s="171"/>
      <c r="U150" s="171"/>
      <c r="V150" s="171"/>
      <c r="W150" s="480"/>
      <c r="X150" s="171"/>
      <c r="Y150" s="171"/>
      <c r="Z150" s="171"/>
      <c r="AA150" s="171"/>
      <c r="AB150" s="480"/>
      <c r="AC150" s="171"/>
      <c r="AD150" s="171"/>
      <c r="AE150" s="171"/>
      <c r="AF150" s="426"/>
      <c r="AG150" s="480"/>
      <c r="AH150" s="426"/>
      <c r="AI150" s="426"/>
      <c r="AJ150" s="426"/>
      <c r="AK150" s="426"/>
      <c r="AL150" s="480"/>
      <c r="AM150" s="426"/>
      <c r="AN150" s="426"/>
      <c r="AO150" s="426"/>
      <c r="AP150" s="426"/>
      <c r="AQ150" s="480"/>
      <c r="AR150" s="171"/>
      <c r="AS150" s="171"/>
      <c r="AT150" s="171"/>
      <c r="AU150" s="171"/>
      <c r="AV150" s="480"/>
      <c r="AW150" s="171"/>
      <c r="AX150" s="171"/>
      <c r="AY150" s="171"/>
      <c r="AZ150" s="171"/>
      <c r="BA150" s="480"/>
      <c r="BB150" s="171"/>
      <c r="BC150" s="171"/>
      <c r="BD150" s="171"/>
      <c r="BE150" s="171"/>
      <c r="BF150" s="480"/>
      <c r="BG150" s="171"/>
      <c r="BH150" s="171"/>
      <c r="BI150" s="171"/>
      <c r="BJ150" s="171"/>
      <c r="BK150" s="480"/>
      <c r="BL150" s="171"/>
      <c r="BM150" s="171"/>
      <c r="BN150" s="171"/>
      <c r="BO150" s="171"/>
      <c r="BP150" s="480"/>
      <c r="BQ150" s="171"/>
      <c r="BR150" s="171"/>
      <c r="BS150" s="171"/>
      <c r="BT150" s="171"/>
      <c r="BU150" s="480"/>
      <c r="BV150" s="171"/>
      <c r="BW150" s="171"/>
      <c r="BX150" s="171"/>
      <c r="BY150" s="171"/>
      <c r="BZ150" s="480"/>
      <c r="CA150" s="171"/>
      <c r="CB150" s="171"/>
      <c r="CC150" s="171"/>
      <c r="CD150" s="171"/>
      <c r="CE150" s="480"/>
    </row>
    <row r="151" spans="2:83" ht="6" customHeight="1">
      <c r="B151" s="420"/>
      <c r="C151" s="429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426"/>
      <c r="S151" s="171"/>
      <c r="T151" s="171"/>
      <c r="U151" s="171"/>
      <c r="V151" s="171"/>
      <c r="W151" s="480"/>
      <c r="X151" s="171"/>
      <c r="Y151" s="171"/>
      <c r="Z151" s="171"/>
      <c r="AA151" s="171"/>
      <c r="AB151" s="480"/>
      <c r="AC151" s="171"/>
      <c r="AD151" s="171"/>
      <c r="AE151" s="171"/>
      <c r="AF151" s="426"/>
      <c r="AG151" s="480"/>
      <c r="AH151" s="426"/>
      <c r="AI151" s="426"/>
      <c r="AJ151" s="426"/>
      <c r="AK151" s="426"/>
      <c r="AL151" s="480"/>
      <c r="AM151" s="426"/>
      <c r="AN151" s="426"/>
      <c r="AO151" s="426"/>
      <c r="AP151" s="426"/>
      <c r="AQ151" s="480"/>
      <c r="AR151" s="171"/>
      <c r="AS151" s="171"/>
      <c r="AT151" s="171"/>
      <c r="AU151" s="171"/>
      <c r="AV151" s="480"/>
      <c r="AW151" s="171"/>
      <c r="AX151" s="171"/>
      <c r="AY151" s="171"/>
      <c r="AZ151" s="171"/>
      <c r="BA151" s="480"/>
      <c r="BB151" s="171"/>
      <c r="BC151" s="171"/>
      <c r="BD151" s="171"/>
      <c r="BE151" s="171"/>
      <c r="BF151" s="480"/>
      <c r="BG151" s="171"/>
      <c r="BH151" s="171"/>
      <c r="BI151" s="171"/>
      <c r="BJ151" s="171"/>
      <c r="BK151" s="480"/>
      <c r="BL151" s="171"/>
      <c r="BM151" s="171"/>
      <c r="BN151" s="171"/>
      <c r="BO151" s="171"/>
      <c r="BP151" s="480"/>
      <c r="BQ151" s="171"/>
      <c r="BR151" s="171"/>
      <c r="BS151" s="171"/>
      <c r="BT151" s="171"/>
      <c r="BU151" s="480"/>
      <c r="BV151" s="171"/>
      <c r="BW151" s="171"/>
      <c r="BX151" s="171"/>
      <c r="BY151" s="171"/>
      <c r="BZ151" s="480"/>
      <c r="CA151" s="171"/>
      <c r="CB151" s="171"/>
      <c r="CC151" s="171"/>
      <c r="CD151" s="171"/>
      <c r="CE151" s="480"/>
    </row>
    <row r="152" spans="2:83" ht="12.6" customHeight="1">
      <c r="B152" s="420" t="s">
        <v>119</v>
      </c>
      <c r="C152" s="407"/>
      <c r="D152" s="171"/>
      <c r="E152" s="171"/>
      <c r="F152" s="171"/>
      <c r="G152" s="171"/>
      <c r="H152" s="171"/>
      <c r="I152" s="171">
        <f>+(I$31/D$31)-1</f>
        <v>0.39070500196927904</v>
      </c>
      <c r="J152" s="171">
        <f t="shared" ref="J152:AL152" si="695">+(J$31/E$31)-1</f>
        <v>0.32113012335853552</v>
      </c>
      <c r="K152" s="171">
        <f t="shared" si="695"/>
        <v>0.24492807082257473</v>
      </c>
      <c r="L152" s="171">
        <f t="shared" si="695"/>
        <v>0.31126516464471377</v>
      </c>
      <c r="M152" s="171">
        <f t="shared" si="695"/>
        <v>0.31564613072877545</v>
      </c>
      <c r="N152" s="171">
        <f t="shared" si="695"/>
        <v>0.10620220900594757</v>
      </c>
      <c r="O152" s="171">
        <f t="shared" si="695"/>
        <v>0.2030120481927713</v>
      </c>
      <c r="P152" s="171">
        <f t="shared" si="695"/>
        <v>0.1842962962962964</v>
      </c>
      <c r="Q152" s="171">
        <f t="shared" si="695"/>
        <v>0.10705789056304527</v>
      </c>
      <c r="R152" s="426">
        <f t="shared" si="695"/>
        <v>0.14819044899707334</v>
      </c>
      <c r="S152" s="171">
        <f t="shared" si="695"/>
        <v>0.1346646185355862</v>
      </c>
      <c r="T152" s="171">
        <f t="shared" si="695"/>
        <v>0.12844266399599391</v>
      </c>
      <c r="U152" s="171">
        <f t="shared" si="695"/>
        <v>0.30197648236177144</v>
      </c>
      <c r="V152" s="171">
        <f t="shared" si="695"/>
        <v>0.19126074498567358</v>
      </c>
      <c r="W152" s="480">
        <f t="shared" si="695"/>
        <v>0.18943114703139563</v>
      </c>
      <c r="X152" s="171">
        <f t="shared" si="695"/>
        <v>0.28474729241877261</v>
      </c>
      <c r="Y152" s="171">
        <f t="shared" si="695"/>
        <v>0.40559130241846009</v>
      </c>
      <c r="Z152" s="171">
        <f t="shared" si="695"/>
        <v>0.1310530361260569</v>
      </c>
      <c r="AA152" s="171">
        <f t="shared" si="695"/>
        <v>0.14932852275004982</v>
      </c>
      <c r="AB152" s="480">
        <f t="shared" si="695"/>
        <v>0.23609659209701017</v>
      </c>
      <c r="AC152" s="171">
        <f t="shared" si="695"/>
        <v>2.0021074815595341E-2</v>
      </c>
      <c r="AD152" s="171">
        <f t="shared" si="695"/>
        <v>-0.21783741120757694</v>
      </c>
      <c r="AE152" s="171">
        <f t="shared" si="695"/>
        <v>-0.1388039415562351</v>
      </c>
      <c r="AF152" s="426">
        <f t="shared" si="695"/>
        <v>-5.8423439134984267E-2</v>
      </c>
      <c r="AG152" s="480">
        <f t="shared" si="695"/>
        <v>-0.10224533806926295</v>
      </c>
      <c r="AH152" s="426">
        <f t="shared" si="695"/>
        <v>0.1690771349862259</v>
      </c>
      <c r="AI152" s="426">
        <f t="shared" si="695"/>
        <v>0.12472250252270434</v>
      </c>
      <c r="AJ152" s="426">
        <f t="shared" si="695"/>
        <v>0.18504636022884191</v>
      </c>
      <c r="AK152" s="426">
        <f t="shared" si="695"/>
        <v>5.3713650676051161E-2</v>
      </c>
      <c r="AL152" s="480">
        <f t="shared" si="695"/>
        <v>0.13320145070886902</v>
      </c>
      <c r="AM152" s="426">
        <f t="shared" ref="AM152" si="696">+(AM$31/AH$31)-1</f>
        <v>-0.12533136966126657</v>
      </c>
      <c r="AN152" s="426">
        <f t="shared" ref="AN152" si="697">+(AN$31/AI$31)-1</f>
        <v>0.14982953525928577</v>
      </c>
      <c r="AO152" s="426">
        <f t="shared" ref="AO152" si="698">+(AO$31/AJ$31)-1</f>
        <v>-6.941901115365412E-2</v>
      </c>
      <c r="AP152" s="426">
        <f t="shared" ref="AP152" si="699">+(AP$31/AK$31)-1</f>
        <v>0.11337669186148713</v>
      </c>
      <c r="AQ152" s="480">
        <f t="shared" ref="AQ152" si="700">+(AQ$31/AL$31)-1</f>
        <v>8.8116713080343967E-3</v>
      </c>
      <c r="AR152" s="171">
        <f t="shared" ref="AR152" si="701">+(AR$31/AM$31)-1</f>
        <v>0.13453443340629745</v>
      </c>
      <c r="AS152" s="171">
        <f t="shared" ref="AS152" si="702">+(AS$31/AN$31)-1</f>
        <v>1.3576779026217123E-2</v>
      </c>
      <c r="AT152" s="171">
        <f t="shared" ref="AT152" si="703">+(AT$31/AO$31)-1</f>
        <v>0.23935599284436493</v>
      </c>
      <c r="AU152" s="171">
        <f t="shared" ref="AU152" si="704">+(AU$31/AP$31)-1</f>
        <v>0.33075465740448373</v>
      </c>
      <c r="AV152" s="480">
        <f t="shared" ref="AV152" si="705">+(AV$31/AQ$31)-1</f>
        <v>0.17794899262494335</v>
      </c>
      <c r="AW152" s="171">
        <f t="shared" ref="AW152" si="706">+(AW$31/AR$31)-1</f>
        <v>0.27025823686553863</v>
      </c>
      <c r="AX152" s="171">
        <f t="shared" ref="AX152" si="707">+(AX$31/AS$31)-1</f>
        <v>0.10377213240954575</v>
      </c>
      <c r="AY152" s="171">
        <f t="shared" ref="AY152" si="708">+(AY$31/AT$31)-1</f>
        <v>-6.7407621247113192E-2</v>
      </c>
      <c r="AZ152" s="171">
        <f t="shared" ref="AZ152" si="709">+(AZ$31/AU$31)-1</f>
        <v>-0.12670542175821564</v>
      </c>
      <c r="BA152" s="480">
        <f t="shared" ref="BA152" si="710">+(BA$31/AV$31)-1</f>
        <v>3.3578174186778664E-2</v>
      </c>
      <c r="BB152" s="171">
        <f t="shared" ref="BB152" si="711">+(BB$31/AW$31)-1</f>
        <v>-0.14861549246407291</v>
      </c>
      <c r="BC152" s="171">
        <f t="shared" ref="BC152" si="712">+(BC$31/AX$31)-1</f>
        <v>6.4583623936392831E-2</v>
      </c>
      <c r="BD152" s="171">
        <f t="shared" ref="BD152" si="713">+(BD$31/AY$31)-1</f>
        <v>0.47376567094876965</v>
      </c>
      <c r="BE152" s="171">
        <f t="shared" ref="BE152" si="714">+(BE$31/AZ$31)-1</f>
        <v>0.33949191685912239</v>
      </c>
      <c r="BF152" s="480">
        <f t="shared" ref="BF152" si="715">+(BF$31/BA$31)-1</f>
        <v>0.1607783417935702</v>
      </c>
      <c r="BG152" s="171">
        <f t="shared" ref="BG152" si="716">+(BG$31/BB$31)-1</f>
        <v>0.1117057774118293</v>
      </c>
      <c r="BH152" s="171">
        <f t="shared" ref="BH152" si="717">+(BH$31/BC$31)-1</f>
        <v>1.7688679245283057E-2</v>
      </c>
      <c r="BI152" s="171">
        <f t="shared" ref="BI152" si="718">+(BI$31/BD$31)-1</f>
        <v>-0.12591892459567322</v>
      </c>
      <c r="BJ152" s="171">
        <f t="shared" ref="BJ152" si="719">+(BJ$31/BE$31)-1</f>
        <v>-7.7484787018255563E-2</v>
      </c>
      <c r="BK152" s="480">
        <f t="shared" ref="BK152" si="720">+(BK$31/BF$31)-1</f>
        <v>-2.9561820355091695E-2</v>
      </c>
      <c r="BL152" s="171">
        <f t="shared" ref="BL152" si="721">+(BL$31/BG$31)-1</f>
        <v>0.10344401925688196</v>
      </c>
      <c r="BM152" s="171">
        <f t="shared" ref="BM152" si="722">+(BM$31/BH$31)-1</f>
        <v>9.8493626882966367E-2</v>
      </c>
      <c r="BN152" s="171">
        <f t="shared" ref="BN152" si="723">+(BN$31/BI$31)-1</f>
        <v>0.1215907725579719</v>
      </c>
      <c r="BO152" s="171">
        <f t="shared" ref="BO152" si="724">+(BO$31/BJ$31)-1</f>
        <v>-3.1882145998241018E-2</v>
      </c>
      <c r="BP152" s="480">
        <f t="shared" ref="BP152" si="725">+(BP$31/BK$31)-1</f>
        <v>6.9847087451557766E-2</v>
      </c>
      <c r="BQ152" s="171">
        <f t="shared" ref="BQ152" si="726">+(BQ$31/BL$31)-1</f>
        <v>4.3629041279784619E-3</v>
      </c>
      <c r="BR152" s="171">
        <f t="shared" ref="BR152" si="727">+(BR$31/BM$31)-1</f>
        <v>0.13677918424753877</v>
      </c>
      <c r="BS152" s="171">
        <f t="shared" ref="BS152" si="728">+(BS$31/BN$31)-1</f>
        <v>9.641135511515575E-4</v>
      </c>
      <c r="BT152" s="171">
        <f t="shared" ref="BT152" si="729">+(BT$31/BO$31)-1</f>
        <v>2.4982966159436737E-2</v>
      </c>
      <c r="BU152" s="480">
        <f t="shared" ref="BU152" si="730">+(BU$31/BP$31)-1</f>
        <v>4.0295406042906823E-2</v>
      </c>
      <c r="BV152" s="171">
        <f t="shared" ref="BV152" si="731">+(BV$31/BQ$31)-1</f>
        <v>5.56137224326132E-2</v>
      </c>
      <c r="BW152" s="171">
        <f t="shared" ref="BW152" si="732">+(BW$31/BR$31)-1</f>
        <v>1.6227652335292442E-2</v>
      </c>
      <c r="BX152" s="171">
        <f t="shared" ref="BX152" si="733">+(BX$31/BS$31)-1</f>
        <v>0.10757829623287707</v>
      </c>
      <c r="BY152" s="171">
        <f t="shared" ref="BY152" si="734">+(BY$31/BT$31)-1</f>
        <v>0.19246400000000019</v>
      </c>
      <c r="BZ152" s="480">
        <f t="shared" ref="BZ152" si="735">+(BZ$31/BU$31)-1</f>
        <v>9.1750578022512075E-2</v>
      </c>
      <c r="CA152" s="171">
        <f t="shared" ref="CA152" si="736">+(CA$31/BV$31)-1</f>
        <v>0.10160959999999997</v>
      </c>
      <c r="CB152" s="171">
        <f t="shared" ref="CB152" si="737">+(CB$31/BW$31)-1</f>
        <v>3.2758999999999983E-2</v>
      </c>
      <c r="CC152" s="171">
        <f t="shared" ref="CC152" si="738">+(CC$31/BX$31)-1</f>
        <v>-6.584200000000151E-3</v>
      </c>
      <c r="CD152" s="171">
        <f t="shared" ref="CD152" si="739">+(CD$31/BY$31)-1</f>
        <v>-3.5240425000000131E-2</v>
      </c>
      <c r="CE152" s="480">
        <f t="shared" ref="CE152" si="740">+(CE$31/BZ$31)-1</f>
        <v>2.0729569165448103E-2</v>
      </c>
    </row>
    <row r="153" spans="2:83" ht="6" customHeight="1">
      <c r="B153" s="420"/>
      <c r="C153" s="407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426"/>
      <c r="S153" s="171"/>
      <c r="T153" s="171"/>
      <c r="U153" s="171"/>
      <c r="V153" s="171"/>
      <c r="W153" s="480"/>
      <c r="X153" s="171"/>
      <c r="Y153" s="171"/>
      <c r="Z153" s="171"/>
      <c r="AA153" s="171"/>
      <c r="AB153" s="480"/>
      <c r="AC153" s="171"/>
      <c r="AD153" s="171"/>
      <c r="AE153" s="171"/>
      <c r="AF153" s="426"/>
      <c r="AG153" s="480"/>
      <c r="AH153" s="426"/>
      <c r="AI153" s="426"/>
      <c r="AJ153" s="426"/>
      <c r="AK153" s="426"/>
      <c r="AL153" s="480"/>
      <c r="AM153" s="426"/>
      <c r="AN153" s="426"/>
      <c r="AO153" s="426"/>
      <c r="AP153" s="426"/>
      <c r="AQ153" s="480"/>
      <c r="AR153" s="171"/>
      <c r="AS153" s="171"/>
      <c r="AT153" s="171"/>
      <c r="AU153" s="171"/>
      <c r="AV153" s="480"/>
      <c r="AW153" s="171"/>
      <c r="AX153" s="171"/>
      <c r="AY153" s="171"/>
      <c r="AZ153" s="171"/>
      <c r="BA153" s="480"/>
      <c r="BB153" s="171"/>
      <c r="BC153" s="171"/>
      <c r="BD153" s="171"/>
      <c r="BE153" s="171"/>
      <c r="BF153" s="480"/>
      <c r="BG153" s="171"/>
      <c r="BH153" s="171"/>
      <c r="BI153" s="171"/>
      <c r="BJ153" s="171"/>
      <c r="BK153" s="480"/>
      <c r="BL153" s="171"/>
      <c r="BM153" s="171"/>
      <c r="BN153" s="171"/>
      <c r="BO153" s="171"/>
      <c r="BP153" s="480"/>
      <c r="BQ153" s="171"/>
      <c r="BR153" s="171"/>
      <c r="BS153" s="171"/>
      <c r="BT153" s="171"/>
      <c r="BU153" s="480"/>
      <c r="BV153" s="171"/>
      <c r="BW153" s="171"/>
      <c r="BX153" s="171"/>
      <c r="BY153" s="171"/>
      <c r="BZ153" s="480"/>
      <c r="CA153" s="171"/>
      <c r="CB153" s="171"/>
      <c r="CC153" s="171"/>
      <c r="CD153" s="171"/>
      <c r="CE153" s="480"/>
    </row>
    <row r="154" spans="2:83" ht="12.6" customHeight="1">
      <c r="B154" s="420"/>
      <c r="C154" s="407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426"/>
      <c r="S154" s="171"/>
      <c r="T154" s="171"/>
      <c r="U154" s="171"/>
      <c r="V154" s="171"/>
      <c r="W154" s="480"/>
      <c r="X154" s="171"/>
      <c r="Y154" s="171"/>
      <c r="Z154" s="171"/>
      <c r="AA154" s="171"/>
      <c r="AB154" s="480"/>
      <c r="AC154" s="171"/>
      <c r="AD154" s="171"/>
      <c r="AE154" s="171"/>
      <c r="AF154" s="426"/>
      <c r="AG154" s="480"/>
      <c r="AH154" s="426"/>
      <c r="AI154" s="426"/>
      <c r="AJ154" s="426"/>
      <c r="AK154" s="426"/>
      <c r="AL154" s="480"/>
      <c r="AM154" s="426"/>
      <c r="AN154" s="426"/>
      <c r="AO154" s="426"/>
      <c r="AP154" s="426"/>
      <c r="AQ154" s="480"/>
      <c r="AR154" s="171"/>
      <c r="AS154" s="171"/>
      <c r="AT154" s="171"/>
      <c r="AU154" s="171"/>
      <c r="AV154" s="480"/>
      <c r="AW154" s="171"/>
      <c r="AX154" s="171"/>
      <c r="AY154" s="171"/>
      <c r="AZ154" s="171"/>
      <c r="BA154" s="480"/>
      <c r="BB154" s="171"/>
      <c r="BC154" s="171"/>
      <c r="BD154" s="171"/>
      <c r="BE154" s="171"/>
      <c r="BF154" s="480"/>
      <c r="BG154" s="171"/>
      <c r="BH154" s="171"/>
      <c r="BI154" s="171"/>
      <c r="BJ154" s="171"/>
      <c r="BK154" s="480"/>
      <c r="BL154" s="171"/>
      <c r="BM154" s="171"/>
      <c r="BN154" s="171"/>
      <c r="BO154" s="171"/>
      <c r="BP154" s="480"/>
      <c r="BQ154" s="171"/>
      <c r="BR154" s="171"/>
      <c r="BS154" s="171"/>
      <c r="BT154" s="171"/>
      <c r="BU154" s="480"/>
      <c r="BV154" s="171"/>
      <c r="BW154" s="171"/>
      <c r="BX154" s="171"/>
      <c r="BY154" s="171"/>
      <c r="BZ154" s="480"/>
      <c r="CA154" s="171"/>
      <c r="CB154" s="171"/>
      <c r="CC154" s="171"/>
      <c r="CD154" s="171"/>
      <c r="CE154" s="480"/>
    </row>
    <row r="155" spans="2:83" ht="12.6" customHeight="1">
      <c r="B155" s="430"/>
      <c r="C155" s="429"/>
      <c r="D155" s="189"/>
      <c r="E155" s="189"/>
      <c r="F155" s="189"/>
      <c r="G155" s="189"/>
      <c r="H155" s="189"/>
      <c r="I155" s="189" t="s">
        <v>0</v>
      </c>
      <c r="J155" s="189" t="s">
        <v>0</v>
      </c>
      <c r="K155" s="189" t="s">
        <v>0</v>
      </c>
      <c r="L155" s="189" t="s">
        <v>0</v>
      </c>
      <c r="M155" s="189" t="s">
        <v>0</v>
      </c>
      <c r="N155" s="189" t="s">
        <v>0</v>
      </c>
      <c r="O155" s="189" t="s">
        <v>0</v>
      </c>
      <c r="P155" s="189" t="s">
        <v>0</v>
      </c>
      <c r="Q155" s="189" t="s">
        <v>0</v>
      </c>
      <c r="R155" s="423" t="s">
        <v>0</v>
      </c>
      <c r="S155" s="189" t="s">
        <v>0</v>
      </c>
      <c r="T155" s="189" t="s">
        <v>0</v>
      </c>
      <c r="U155" s="189" t="s">
        <v>0</v>
      </c>
      <c r="V155" s="189" t="s">
        <v>0</v>
      </c>
      <c r="W155" s="486" t="s">
        <v>0</v>
      </c>
      <c r="X155" s="189" t="s">
        <v>0</v>
      </c>
      <c r="Y155" s="189" t="s">
        <v>0</v>
      </c>
      <c r="Z155" s="189" t="s">
        <v>0</v>
      </c>
      <c r="AA155" s="189" t="s">
        <v>0</v>
      </c>
      <c r="AB155" s="486" t="s">
        <v>0</v>
      </c>
      <c r="AC155" s="189" t="s">
        <v>0</v>
      </c>
      <c r="AD155" s="189" t="s">
        <v>0</v>
      </c>
      <c r="AE155" s="189" t="s">
        <v>0</v>
      </c>
      <c r="AF155" s="423" t="s">
        <v>0</v>
      </c>
      <c r="AG155" s="486" t="s">
        <v>0</v>
      </c>
      <c r="AH155" s="423" t="s">
        <v>0</v>
      </c>
      <c r="AI155" s="423" t="s">
        <v>0</v>
      </c>
      <c r="AJ155" s="423" t="s">
        <v>0</v>
      </c>
      <c r="AK155" s="423" t="s">
        <v>0</v>
      </c>
      <c r="AL155" s="486" t="s">
        <v>0</v>
      </c>
      <c r="AM155" s="423" t="s">
        <v>0</v>
      </c>
      <c r="AN155" s="423" t="s">
        <v>0</v>
      </c>
      <c r="AO155" s="423" t="s">
        <v>0</v>
      </c>
      <c r="AP155" s="423" t="s">
        <v>0</v>
      </c>
      <c r="AQ155" s="486" t="s">
        <v>0</v>
      </c>
      <c r="AR155" s="189" t="s">
        <v>0</v>
      </c>
      <c r="AS155" s="189" t="s">
        <v>0</v>
      </c>
      <c r="AT155" s="189" t="s">
        <v>0</v>
      </c>
      <c r="AU155" s="189" t="s">
        <v>0</v>
      </c>
      <c r="AV155" s="486" t="s">
        <v>0</v>
      </c>
      <c r="AW155" s="189" t="s">
        <v>0</v>
      </c>
      <c r="AX155" s="189" t="s">
        <v>0</v>
      </c>
      <c r="AY155" s="189" t="s">
        <v>0</v>
      </c>
      <c r="AZ155" s="189" t="s">
        <v>0</v>
      </c>
      <c r="BA155" s="486" t="s">
        <v>0</v>
      </c>
      <c r="BB155" s="189" t="s">
        <v>0</v>
      </c>
      <c r="BC155" s="189" t="s">
        <v>0</v>
      </c>
      <c r="BD155" s="189" t="s">
        <v>0</v>
      </c>
      <c r="BE155" s="189" t="s">
        <v>0</v>
      </c>
      <c r="BF155" s="486" t="s">
        <v>0</v>
      </c>
      <c r="BG155" s="189" t="s">
        <v>0</v>
      </c>
      <c r="BH155" s="189" t="s">
        <v>0</v>
      </c>
      <c r="BI155" s="189" t="s">
        <v>0</v>
      </c>
      <c r="BJ155" s="189" t="s">
        <v>0</v>
      </c>
      <c r="BK155" s="486" t="s">
        <v>0</v>
      </c>
      <c r="BL155" s="189" t="s">
        <v>0</v>
      </c>
      <c r="BM155" s="189" t="s">
        <v>0</v>
      </c>
      <c r="BN155" s="189" t="s">
        <v>0</v>
      </c>
      <c r="BO155" s="189" t="s">
        <v>0</v>
      </c>
      <c r="BP155" s="486" t="s">
        <v>0</v>
      </c>
      <c r="BQ155" s="189" t="s">
        <v>0</v>
      </c>
      <c r="BR155" s="189" t="s">
        <v>0</v>
      </c>
      <c r="BS155" s="189" t="s">
        <v>0</v>
      </c>
      <c r="BT155" s="189" t="s">
        <v>0</v>
      </c>
      <c r="BU155" s="486" t="s">
        <v>0</v>
      </c>
      <c r="BV155" s="189" t="s">
        <v>0</v>
      </c>
      <c r="BW155" s="189" t="s">
        <v>0</v>
      </c>
      <c r="BX155" s="189" t="s">
        <v>0</v>
      </c>
      <c r="BY155" s="189" t="s">
        <v>0</v>
      </c>
      <c r="BZ155" s="486" t="s">
        <v>0</v>
      </c>
      <c r="CA155" s="189" t="s">
        <v>0</v>
      </c>
      <c r="CB155" s="189" t="s">
        <v>0</v>
      </c>
      <c r="CC155" s="189" t="s">
        <v>0</v>
      </c>
      <c r="CD155" s="189" t="s">
        <v>0</v>
      </c>
      <c r="CE155" s="486" t="s">
        <v>0</v>
      </c>
    </row>
    <row r="156" spans="2:83" ht="13.35" customHeight="1">
      <c r="B156" s="434" t="s">
        <v>8</v>
      </c>
      <c r="C156" s="435"/>
      <c r="D156" s="171"/>
      <c r="E156" s="171"/>
      <c r="F156" s="171"/>
      <c r="G156" s="171"/>
      <c r="H156" s="171"/>
      <c r="I156" s="171">
        <f>+(I$37/D$37)-1</f>
        <v>0.11887054840074973</v>
      </c>
      <c r="J156" s="171">
        <f t="shared" ref="J156:AL156" si="741">+(J$37/E$37)-1</f>
        <v>8.3038661008957959E-2</v>
      </c>
      <c r="K156" s="171">
        <f t="shared" si="741"/>
        <v>0.14021657953696787</v>
      </c>
      <c r="L156" s="171">
        <f t="shared" si="741"/>
        <v>0.20023174971031343</v>
      </c>
      <c r="M156" s="171">
        <f t="shared" si="741"/>
        <v>0.1359168100546122</v>
      </c>
      <c r="N156" s="171">
        <f t="shared" si="741"/>
        <v>0.17773574709537954</v>
      </c>
      <c r="O156" s="171">
        <f t="shared" si="741"/>
        <v>0.14354900146922778</v>
      </c>
      <c r="P156" s="171">
        <f t="shared" si="741"/>
        <v>0.1517384422247694</v>
      </c>
      <c r="Q156" s="171">
        <f t="shared" si="741"/>
        <v>4.5906545665186149E-2</v>
      </c>
      <c r="R156" s="426">
        <f t="shared" si="741"/>
        <v>0.12721453127675542</v>
      </c>
      <c r="S156" s="171">
        <f t="shared" si="741"/>
        <v>-3.3587225841974822E-2</v>
      </c>
      <c r="T156" s="171">
        <f t="shared" si="741"/>
        <v>6.4477753985248576E-2</v>
      </c>
      <c r="U156" s="171">
        <f t="shared" si="741"/>
        <v>7.7721435003080375E-2</v>
      </c>
      <c r="V156" s="171">
        <f t="shared" si="741"/>
        <v>6.9645082383347878E-2</v>
      </c>
      <c r="W156" s="480">
        <f t="shared" si="741"/>
        <v>4.4077263750774254E-2</v>
      </c>
      <c r="X156" s="171">
        <f t="shared" si="741"/>
        <v>0.18303105118222396</v>
      </c>
      <c r="Y156" s="171">
        <f t="shared" si="741"/>
        <v>0.20907465355386678</v>
      </c>
      <c r="Z156" s="171">
        <f t="shared" si="741"/>
        <v>0.19277956114506845</v>
      </c>
      <c r="AA156" s="171">
        <f t="shared" si="741"/>
        <v>0.17574214704867108</v>
      </c>
      <c r="AB156" s="480">
        <f t="shared" si="741"/>
        <v>0.1901420273310277</v>
      </c>
      <c r="AC156" s="171">
        <f t="shared" si="741"/>
        <v>0.1775093309788498</v>
      </c>
      <c r="AD156" s="171">
        <f t="shared" si="741"/>
        <v>4.3701704440418432E-2</v>
      </c>
      <c r="AE156" s="171">
        <f t="shared" si="741"/>
        <v>5.8138248847926288E-2</v>
      </c>
      <c r="AF156" s="426">
        <f t="shared" si="741"/>
        <v>0.13174795405335971</v>
      </c>
      <c r="AG156" s="480">
        <f t="shared" si="741"/>
        <v>0.10129962948334548</v>
      </c>
      <c r="AH156" s="426">
        <f t="shared" si="741"/>
        <v>9.256987048398102E-2</v>
      </c>
      <c r="AI156" s="426">
        <f t="shared" si="741"/>
        <v>0.16851464805696259</v>
      </c>
      <c r="AJ156" s="426">
        <f t="shared" si="741"/>
        <v>7.5151557382760803E-2</v>
      </c>
      <c r="AK156" s="426">
        <f t="shared" si="741"/>
        <v>0.16057589415999218</v>
      </c>
      <c r="AL156" s="480">
        <f t="shared" si="741"/>
        <v>0.12451541285970458</v>
      </c>
      <c r="AM156" s="426">
        <f t="shared" ref="AM156" si="742">+(AM$37/AH$37)-1</f>
        <v>0.10631395058647364</v>
      </c>
      <c r="AN156" s="426">
        <f t="shared" ref="AN156" si="743">+(AN$37/AI$37)-1</f>
        <v>0.10410477172133636</v>
      </c>
      <c r="AO156" s="426">
        <f t="shared" ref="AO156" si="744">+(AO$37/AJ$37)-1</f>
        <v>0.14012119640947529</v>
      </c>
      <c r="AP156" s="426">
        <f t="shared" ref="AP156" si="745">+(AP$37/AK$37)-1</f>
        <v>8.3792014752312127E-2</v>
      </c>
      <c r="AQ156" s="480">
        <f t="shared" ref="AQ156" si="746">+(AQ$37/AL$37)-1</f>
        <v>0.10756158308781094</v>
      </c>
      <c r="AR156" s="171">
        <f t="shared" ref="AR156" si="747">+(AR$37/AM$37)-1</f>
        <v>6.9507105797428359E-2</v>
      </c>
      <c r="AS156" s="171">
        <f t="shared" ref="AS156" si="748">+(AS$37/AN$37)-1</f>
        <v>-2.4025260845689234E-2</v>
      </c>
      <c r="AT156" s="171">
        <f t="shared" ref="AT156" si="749">+(AT$37/AO$37)-1</f>
        <v>3.4675837762555783E-2</v>
      </c>
      <c r="AU156" s="171">
        <f t="shared" ref="AU156" si="750">+(AU$37/AP$37)-1</f>
        <v>2.7068832173240631E-2</v>
      </c>
      <c r="AV156" s="480">
        <f t="shared" ref="AV156" si="751">+(AV$37/AQ$37)-1</f>
        <v>2.6464276654531549E-2</v>
      </c>
      <c r="AW156" s="171">
        <f t="shared" ref="AW156" si="752">+(AW$37/AR$37)-1</f>
        <v>6.5912626222679238E-2</v>
      </c>
      <c r="AX156" s="171">
        <f t="shared" ref="AX156" si="753">+(AX$37/AS$37)-1</f>
        <v>0.15490223660149116</v>
      </c>
      <c r="AY156" s="171">
        <f t="shared" ref="AY156" si="754">+(AY$37/AT$37)-1</f>
        <v>0.15254237288135597</v>
      </c>
      <c r="AZ156" s="171">
        <f t="shared" ref="AZ156" si="755">+(AZ$37/AU$37)-1</f>
        <v>0.17060742971887555</v>
      </c>
      <c r="BA156" s="480">
        <f t="shared" ref="BA156" si="756">+(BA$37/AV$37)-1</f>
        <v>0.13596318387357487</v>
      </c>
      <c r="BB156" s="171">
        <f t="shared" ref="BB156" si="757">+(BB$37/AW$37)-1</f>
        <v>0.11635212347572277</v>
      </c>
      <c r="BC156" s="171">
        <f t="shared" ref="BC156" si="758">+(BC$37/AX$37)-1</f>
        <v>0.2234050327641226</v>
      </c>
      <c r="BD156" s="171">
        <f t="shared" ref="BD156" si="759">+(BD$37/AY$37)-1</f>
        <v>0.2925684049957098</v>
      </c>
      <c r="BE156" s="171">
        <f t="shared" ref="BE156" si="760">+(BE$37/AZ$37)-1</f>
        <v>0.25134549820957619</v>
      </c>
      <c r="BF156" s="480">
        <f t="shared" ref="BF156" si="761">+(BF$37/BA$37)-1</f>
        <v>0.22268084881198069</v>
      </c>
      <c r="BG156" s="171">
        <f t="shared" ref="BG156" si="762">+(BG$37/BB$37)-1</f>
        <v>0.19834710743801653</v>
      </c>
      <c r="BH156" s="171">
        <f t="shared" ref="BH156" si="763">+(BH$37/BC$37)-1</f>
        <v>6.3418422205407943E-2</v>
      </c>
      <c r="BI156" s="171">
        <f t="shared" ref="BI156" si="764">+(BI$37/BD$37)-1</f>
        <v>1.5304899411775486E-2</v>
      </c>
      <c r="BJ156" s="171">
        <f t="shared" ref="BJ156" si="765">+(BJ$37/BE$37)-1</f>
        <v>1.9071608492263303E-2</v>
      </c>
      <c r="BK156" s="480">
        <f t="shared" ref="BK156" si="766">+(BK$37/BF$37)-1</f>
        <v>6.7710211834860257E-2</v>
      </c>
      <c r="BL156" s="171">
        <f t="shared" ref="BL156" si="767">+(BL$37/BG$37)-1</f>
        <v>5.0383655357308044E-2</v>
      </c>
      <c r="BM156" s="171">
        <f t="shared" ref="BM156" si="768">+(BM$37/BH$37)-1</f>
        <v>0.10434961709139245</v>
      </c>
      <c r="BN156" s="171">
        <f t="shared" ref="BN156" si="769">+(BN$37/BI$37)-1</f>
        <v>0.12255498447176771</v>
      </c>
      <c r="BO156" s="171">
        <f t="shared" ref="BO156" si="770">+(BO$37/BJ$37)-1</f>
        <v>4.6273876782351397E-2</v>
      </c>
      <c r="BP156" s="480">
        <f t="shared" ref="BP156" si="771">+(BP$37/BK$37)-1</f>
        <v>8.016214390271359E-2</v>
      </c>
      <c r="BQ156" s="171">
        <f t="shared" ref="BQ156" si="772">+(BQ$37/BL$37)-1</f>
        <v>9.9947192395704931E-2</v>
      </c>
      <c r="BR156" s="171">
        <f t="shared" ref="BR156" si="773">+(BR$37/BM$37)-1</f>
        <v>0.14805018650389967</v>
      </c>
      <c r="BS156" s="171">
        <f t="shared" ref="BS156" si="774">+(BS$37/BN$37)-1</f>
        <v>4.9264670193661209E-2</v>
      </c>
      <c r="BT156" s="171">
        <f t="shared" ref="BT156" si="775">+(BT$37/BO$37)-1</f>
        <v>0.10751478529184877</v>
      </c>
      <c r="BU156" s="480">
        <f t="shared" ref="BU156" si="776">+(BU$37/BP$37)-1</f>
        <v>0.10067841699920366</v>
      </c>
      <c r="BV156" s="171">
        <f t="shared" ref="BV156" si="777">+(BV$37/BQ$37)-1</f>
        <v>0.13124423889386772</v>
      </c>
      <c r="BW156" s="171">
        <f t="shared" ref="BW156" si="778">+(BW$37/BR$37)-1</f>
        <v>0.10219089821597338</v>
      </c>
      <c r="BX156" s="171">
        <f t="shared" ref="BX156" si="779">+(BX$37/BS$37)-1</f>
        <v>0.19492389622845163</v>
      </c>
      <c r="BY156" s="171">
        <f t="shared" ref="BY156" si="780">+(BY$37/BT$37)-1</f>
        <v>0.19046459683808803</v>
      </c>
      <c r="BZ156" s="480">
        <f t="shared" ref="BZ156" si="781">+(BZ$37/BU$37)-1</f>
        <v>0.15489760763615301</v>
      </c>
      <c r="CA156" s="171">
        <f t="shared" ref="CA156" si="782">+(CA$37/BV$37)-1</f>
        <v>0.11990307777706888</v>
      </c>
      <c r="CB156" s="171">
        <f t="shared" ref="CB156" si="783">+(CB$37/BW$37)-1</f>
        <v>6.7884152378593798E-2</v>
      </c>
      <c r="CC156" s="171">
        <f t="shared" ref="CC156" si="784">+(CC$37/BX$37)-1</f>
        <v>3.1208921265152956E-2</v>
      </c>
      <c r="CD156" s="171">
        <f t="shared" ref="CD156" si="785">+(CD$37/BY$37)-1</f>
        <v>-1.1183530340249659E-2</v>
      </c>
      <c r="CE156" s="480">
        <f t="shared" ref="CE156" si="786">+(CE$37/BZ$37)-1</f>
        <v>4.934530096975287E-2</v>
      </c>
    </row>
    <row r="157" spans="2:83" ht="13.35" customHeight="1">
      <c r="B157" s="434"/>
      <c r="C157" s="435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426"/>
      <c r="S157" s="171"/>
      <c r="T157" s="171"/>
      <c r="U157" s="171"/>
      <c r="V157" s="171"/>
      <c r="W157" s="480"/>
      <c r="X157" s="171"/>
      <c r="Y157" s="171"/>
      <c r="Z157" s="171"/>
      <c r="AA157" s="171"/>
      <c r="AB157" s="480"/>
      <c r="AC157" s="171"/>
      <c r="AD157" s="171"/>
      <c r="AE157" s="171"/>
      <c r="AF157" s="426"/>
      <c r="AG157" s="480"/>
      <c r="AH157" s="426"/>
      <c r="AI157" s="426"/>
      <c r="AJ157" s="426"/>
      <c r="AK157" s="426"/>
      <c r="AL157" s="480"/>
      <c r="AM157" s="426"/>
      <c r="AN157" s="426"/>
      <c r="AO157" s="426"/>
      <c r="AP157" s="426"/>
      <c r="AQ157" s="480"/>
      <c r="AR157" s="171"/>
      <c r="AS157" s="171"/>
      <c r="AT157" s="171"/>
      <c r="AU157" s="171"/>
      <c r="AV157" s="480"/>
      <c r="AW157" s="171"/>
      <c r="AX157" s="171"/>
      <c r="AY157" s="171"/>
      <c r="AZ157" s="171"/>
      <c r="BA157" s="480"/>
      <c r="BB157" s="171"/>
      <c r="BC157" s="171"/>
      <c r="BD157" s="171"/>
      <c r="BE157" s="171"/>
      <c r="BF157" s="480"/>
      <c r="BG157" s="171"/>
      <c r="BH157" s="171"/>
      <c r="BI157" s="171"/>
      <c r="BJ157" s="171"/>
      <c r="BK157" s="480"/>
      <c r="BL157" s="171"/>
      <c r="BM157" s="171"/>
      <c r="BN157" s="171"/>
      <c r="BO157" s="171"/>
      <c r="BP157" s="480"/>
      <c r="BQ157" s="171"/>
      <c r="BR157" s="171"/>
      <c r="BS157" s="171"/>
      <c r="BT157" s="171"/>
      <c r="BU157" s="480"/>
      <c r="BV157" s="171"/>
      <c r="BW157" s="171"/>
      <c r="BX157" s="171"/>
      <c r="BY157" s="171"/>
      <c r="BZ157" s="480"/>
      <c r="CA157" s="171"/>
      <c r="CB157" s="171"/>
      <c r="CC157" s="171"/>
      <c r="CD157" s="171"/>
      <c r="CE157" s="480"/>
    </row>
    <row r="158" spans="2:83" ht="5.25" customHeight="1">
      <c r="B158" s="420"/>
      <c r="C158" s="407"/>
      <c r="D158" s="189"/>
      <c r="E158" s="189"/>
      <c r="F158" s="189"/>
      <c r="G158" s="189"/>
      <c r="H158" s="189"/>
      <c r="I158" s="189" t="s">
        <v>0</v>
      </c>
      <c r="J158" s="189" t="s">
        <v>0</v>
      </c>
      <c r="K158" s="189" t="s">
        <v>0</v>
      </c>
      <c r="L158" s="189" t="s">
        <v>0</v>
      </c>
      <c r="M158" s="189" t="s">
        <v>0</v>
      </c>
      <c r="N158" s="189" t="s">
        <v>0</v>
      </c>
      <c r="O158" s="189" t="s">
        <v>0</v>
      </c>
      <c r="P158" s="189" t="s">
        <v>0</v>
      </c>
      <c r="Q158" s="189" t="s">
        <v>0</v>
      </c>
      <c r="R158" s="423" t="s">
        <v>0</v>
      </c>
      <c r="S158" s="189" t="s">
        <v>0</v>
      </c>
      <c r="T158" s="189" t="s">
        <v>0</v>
      </c>
      <c r="U158" s="189" t="s">
        <v>0</v>
      </c>
      <c r="V158" s="189" t="s">
        <v>0</v>
      </c>
      <c r="W158" s="486" t="s">
        <v>0</v>
      </c>
      <c r="X158" s="189" t="s">
        <v>0</v>
      </c>
      <c r="Y158" s="189" t="s">
        <v>0</v>
      </c>
      <c r="Z158" s="189" t="s">
        <v>0</v>
      </c>
      <c r="AA158" s="189" t="s">
        <v>0</v>
      </c>
      <c r="AB158" s="486" t="s">
        <v>0</v>
      </c>
      <c r="AC158" s="189" t="s">
        <v>0</v>
      </c>
      <c r="AD158" s="189" t="s">
        <v>0</v>
      </c>
      <c r="AE158" s="189" t="s">
        <v>0</v>
      </c>
      <c r="AF158" s="423" t="s">
        <v>0</v>
      </c>
      <c r="AG158" s="486" t="s">
        <v>0</v>
      </c>
      <c r="AH158" s="423" t="s">
        <v>0</v>
      </c>
      <c r="AI158" s="423" t="s">
        <v>0</v>
      </c>
      <c r="AJ158" s="423" t="s">
        <v>0</v>
      </c>
      <c r="AK158" s="423" t="s">
        <v>0</v>
      </c>
      <c r="AL158" s="486" t="s">
        <v>0</v>
      </c>
      <c r="AM158" s="423" t="s">
        <v>0</v>
      </c>
      <c r="AN158" s="423" t="s">
        <v>0</v>
      </c>
      <c r="AO158" s="423" t="s">
        <v>0</v>
      </c>
      <c r="AP158" s="423" t="s">
        <v>0</v>
      </c>
      <c r="AQ158" s="486" t="s">
        <v>0</v>
      </c>
      <c r="AR158" s="189" t="s">
        <v>0</v>
      </c>
      <c r="AS158" s="189" t="s">
        <v>0</v>
      </c>
      <c r="AT158" s="189" t="s">
        <v>0</v>
      </c>
      <c r="AU158" s="189" t="s">
        <v>0</v>
      </c>
      <c r="AV158" s="486" t="s">
        <v>0</v>
      </c>
      <c r="AW158" s="189" t="s">
        <v>0</v>
      </c>
      <c r="AX158" s="189" t="s">
        <v>0</v>
      </c>
      <c r="AY158" s="189" t="s">
        <v>0</v>
      </c>
      <c r="AZ158" s="189" t="s">
        <v>0</v>
      </c>
      <c r="BA158" s="486" t="s">
        <v>0</v>
      </c>
      <c r="BB158" s="189" t="s">
        <v>0</v>
      </c>
      <c r="BC158" s="189" t="s">
        <v>0</v>
      </c>
      <c r="BD158" s="189" t="s">
        <v>0</v>
      </c>
      <c r="BE158" s="189" t="s">
        <v>0</v>
      </c>
      <c r="BF158" s="486" t="s">
        <v>0</v>
      </c>
      <c r="BG158" s="189" t="s">
        <v>0</v>
      </c>
      <c r="BH158" s="189" t="s">
        <v>0</v>
      </c>
      <c r="BI158" s="189" t="s">
        <v>0</v>
      </c>
      <c r="BJ158" s="189" t="s">
        <v>0</v>
      </c>
      <c r="BK158" s="486" t="s">
        <v>0</v>
      </c>
      <c r="BL158" s="189" t="s">
        <v>0</v>
      </c>
      <c r="BM158" s="189" t="s">
        <v>0</v>
      </c>
      <c r="BN158" s="189" t="s">
        <v>0</v>
      </c>
      <c r="BO158" s="189" t="s">
        <v>0</v>
      </c>
      <c r="BP158" s="486" t="s">
        <v>0</v>
      </c>
      <c r="BQ158" s="189" t="s">
        <v>0</v>
      </c>
      <c r="BR158" s="189" t="s">
        <v>0</v>
      </c>
      <c r="BS158" s="189" t="s">
        <v>0</v>
      </c>
      <c r="BT158" s="189" t="s">
        <v>0</v>
      </c>
      <c r="BU158" s="486" t="s">
        <v>0</v>
      </c>
      <c r="BV158" s="189" t="s">
        <v>0</v>
      </c>
      <c r="BW158" s="189" t="s">
        <v>0</v>
      </c>
      <c r="BX158" s="189" t="s">
        <v>0</v>
      </c>
      <c r="BY158" s="189" t="s">
        <v>0</v>
      </c>
      <c r="BZ158" s="486" t="s">
        <v>0</v>
      </c>
      <c r="CA158" s="189" t="s">
        <v>0</v>
      </c>
      <c r="CB158" s="189" t="s">
        <v>0</v>
      </c>
      <c r="CC158" s="189" t="s">
        <v>0</v>
      </c>
      <c r="CD158" s="189" t="s">
        <v>0</v>
      </c>
      <c r="CE158" s="486" t="s">
        <v>0</v>
      </c>
    </row>
    <row r="159" spans="2:83" ht="13.35" customHeight="1">
      <c r="B159" s="434" t="s">
        <v>2</v>
      </c>
      <c r="C159" s="415"/>
      <c r="D159" s="171"/>
      <c r="E159" s="171"/>
      <c r="F159" s="171"/>
      <c r="G159" s="171"/>
      <c r="H159" s="171"/>
      <c r="I159" s="171">
        <f>+(I$41/D$41)-1</f>
        <v>0.23809523809523814</v>
      </c>
      <c r="J159" s="171">
        <f t="shared" ref="J159:AL159" si="787">+(J$41/E$41)-1</f>
        <v>2.1546546546546548</v>
      </c>
      <c r="K159" s="171">
        <f t="shared" si="787"/>
        <v>0.13391557496360984</v>
      </c>
      <c r="L159" s="171">
        <f t="shared" si="787"/>
        <v>-0.23027633159791716</v>
      </c>
      <c r="M159" s="171">
        <f t="shared" si="787"/>
        <v>0.2103143874864486</v>
      </c>
      <c r="N159" s="171">
        <f t="shared" si="787"/>
        <v>1.7588757396449703</v>
      </c>
      <c r="O159" s="171">
        <f t="shared" si="787"/>
        <v>1.0323655402189433</v>
      </c>
      <c r="P159" s="171">
        <f t="shared" si="787"/>
        <v>0.92586649550706035</v>
      </c>
      <c r="Q159" s="171">
        <f t="shared" si="787"/>
        <v>2.9854318418314181</v>
      </c>
      <c r="R159" s="426">
        <f t="shared" si="787"/>
        <v>1.533077415227126</v>
      </c>
      <c r="S159" s="171">
        <f t="shared" si="787"/>
        <v>3.7158176943699734</v>
      </c>
      <c r="T159" s="171">
        <f t="shared" si="787"/>
        <v>1.2702576112412176</v>
      </c>
      <c r="U159" s="171">
        <f t="shared" si="787"/>
        <v>0.88285285785702383</v>
      </c>
      <c r="V159" s="171">
        <f t="shared" si="787"/>
        <v>0.63342036553524794</v>
      </c>
      <c r="W159" s="480">
        <f t="shared" si="787"/>
        <v>1.1367953121842795</v>
      </c>
      <c r="X159" s="171">
        <f t="shared" si="787"/>
        <v>0.397839681637294</v>
      </c>
      <c r="Y159" s="171">
        <f t="shared" si="787"/>
        <v>0.21208995254796781</v>
      </c>
      <c r="Z159" s="171">
        <f t="shared" si="787"/>
        <v>0.15850960261970082</v>
      </c>
      <c r="AA159" s="171">
        <f t="shared" si="787"/>
        <v>0.10597826086956519</v>
      </c>
      <c r="AB159" s="480">
        <f t="shared" si="787"/>
        <v>0.20501182033096921</v>
      </c>
      <c r="AC159" s="171">
        <f t="shared" si="787"/>
        <v>-2.4890190336749662E-2</v>
      </c>
      <c r="AD159" s="171">
        <f t="shared" si="787"/>
        <v>0.31540425531914895</v>
      </c>
      <c r="AE159" s="171">
        <f t="shared" si="787"/>
        <v>0.42689075630252105</v>
      </c>
      <c r="AF159" s="426">
        <f t="shared" si="787"/>
        <v>0.3466541407717878</v>
      </c>
      <c r="AG159" s="480">
        <f t="shared" si="787"/>
        <v>0.27044259593502318</v>
      </c>
      <c r="AH159" s="426">
        <f t="shared" si="787"/>
        <v>0.51676676676676681</v>
      </c>
      <c r="AI159" s="426">
        <f t="shared" si="787"/>
        <v>0.31774068322981375</v>
      </c>
      <c r="AJ159" s="426">
        <f t="shared" si="787"/>
        <v>0.37873433986508198</v>
      </c>
      <c r="AK159" s="426">
        <f t="shared" si="787"/>
        <v>0.22479205795546009</v>
      </c>
      <c r="AL159" s="480">
        <f t="shared" si="787"/>
        <v>0.34542983770094349</v>
      </c>
      <c r="AM159" s="426">
        <f t="shared" ref="AM159" si="788">+(AM$41/AH$41)-1</f>
        <v>0.33146345487543316</v>
      </c>
      <c r="AN159" s="426">
        <f t="shared" ref="AN159" si="789">+(AN$41/AI$41)-1</f>
        <v>0.3267540629449599</v>
      </c>
      <c r="AO159" s="426">
        <f t="shared" ref="AO159" si="790">+(AO$41/AJ$41)-1</f>
        <v>0.26017396707051876</v>
      </c>
      <c r="AP159" s="426">
        <f t="shared" ref="AP159" si="791">+(AP$41/AK$41)-1</f>
        <v>0.34919383105502977</v>
      </c>
      <c r="AQ159" s="480">
        <f t="shared" ref="AQ159" si="792">+(AQ$41/AL$41)-1</f>
        <v>0.31393613846612944</v>
      </c>
      <c r="AR159" s="171">
        <f t="shared" ref="AR159" si="793">+(AR$41/AM$41)-1</f>
        <v>0.31961999173895084</v>
      </c>
      <c r="AS159" s="171">
        <f t="shared" ref="AS159" si="794">+(AS$41/AN$41)-1</f>
        <v>0.34971504699874179</v>
      </c>
      <c r="AT159" s="171">
        <f t="shared" ref="AT159" si="795">+(AT$41/AO$41)-1</f>
        <v>0.18316282509552573</v>
      </c>
      <c r="AU159" s="171">
        <f t="shared" ref="AU159" si="796">+(AU$41/AP$41)-1</f>
        <v>0.17428719880496191</v>
      </c>
      <c r="AV159" s="480">
        <f t="shared" ref="AV159" si="797">+(AV$41/AQ$41)-1</f>
        <v>0.24894739600621962</v>
      </c>
      <c r="AW159" s="171">
        <f t="shared" ref="AW159" si="798">+(AW$41/AR$41)-1</f>
        <v>0.16257668711656437</v>
      </c>
      <c r="AX159" s="171">
        <f t="shared" ref="AX159" si="799">+(AX$41/AS$41)-1</f>
        <v>8.4695108576442246E-2</v>
      </c>
      <c r="AY159" s="171">
        <f t="shared" ref="AY159" si="800">+(AY$41/AT$41)-1</f>
        <v>0.12264298364412962</v>
      </c>
      <c r="AZ159" s="171">
        <f t="shared" ref="AZ159" si="801">+(AZ$41/AU$41)-1</f>
        <v>0.16465252620226201</v>
      </c>
      <c r="BA159" s="480">
        <f t="shared" ref="BA159" si="802">+(BA$41/AV$41)-1</f>
        <v>0.13251082341915144</v>
      </c>
      <c r="BB159" s="171">
        <f t="shared" ref="BB159" si="803">+(BB$41/AW$41)-1</f>
        <v>0.26503688546658766</v>
      </c>
      <c r="BC159" s="171">
        <f t="shared" ref="BC159" si="804">+(BC$41/AX$41)-1</f>
        <v>0.19529334445539792</v>
      </c>
      <c r="BD159" s="171">
        <f t="shared" ref="BD159" si="805">+(BD$41/AY$41)-1</f>
        <v>0.11316552604106245</v>
      </c>
      <c r="BE159" s="171">
        <f t="shared" ref="BE159" si="806">+(BE$41/AZ$41)-1</f>
        <v>0.1251335628635879</v>
      </c>
      <c r="BF159" s="480">
        <f t="shared" ref="BF159" si="807">+(BF$41/BA$41)-1</f>
        <v>0.17118012882666456</v>
      </c>
      <c r="BG159" s="171">
        <f t="shared" ref="BG159" si="808">+(BG$41/BB$41)-1</f>
        <v>0.10635082790618489</v>
      </c>
      <c r="BH159" s="171">
        <f t="shared" ref="BH159" si="809">+(BH$41/BC$41)-1</f>
        <v>0.2604732801827141</v>
      </c>
      <c r="BI159" s="171">
        <f t="shared" ref="BI159" si="810">+(BI$41/BD$41)-1</f>
        <v>0.31065168913990382</v>
      </c>
      <c r="BJ159" s="171">
        <f t="shared" ref="BJ159" si="811">+(BJ$41/BE$41)-1</f>
        <v>0.28224121557454884</v>
      </c>
      <c r="BK159" s="480">
        <f t="shared" ref="BK159" si="812">+(BK$41/BF$41)-1</f>
        <v>0.24042269340490718</v>
      </c>
      <c r="BL159" s="171">
        <f t="shared" ref="BL159" si="813">+(BL$41/BG$41)-1</f>
        <v>0.24202143008291177</v>
      </c>
      <c r="BM159" s="171">
        <f t="shared" ref="BM159" si="814">+(BM$41/BH$41)-1</f>
        <v>0.10604992953493064</v>
      </c>
      <c r="BN159" s="171">
        <f t="shared" ref="BN159" si="815">+(BN$41/BI$41)-1</f>
        <v>4.9658922864093791E-2</v>
      </c>
      <c r="BO159" s="171">
        <f t="shared" ref="BO159" si="816">+(BO$41/BJ$41)-1</f>
        <v>0.16412383350614723</v>
      </c>
      <c r="BP159" s="480">
        <f t="shared" ref="BP159" si="817">+(BP$41/BK$41)-1</f>
        <v>0.13602142538312756</v>
      </c>
      <c r="BQ159" s="171">
        <f t="shared" ref="BQ159" si="818">+(BQ$41/BL$41)-1</f>
        <v>0.10301406356483489</v>
      </c>
      <c r="BR159" s="171">
        <f t="shared" ref="BR159" si="819">+(BR$41/BM$41)-1</f>
        <v>6.3208191126279845E-2</v>
      </c>
      <c r="BS159" s="171">
        <f t="shared" ref="BS159" si="820">+(BS$41/BN$41)-1</f>
        <v>0.21252196570320558</v>
      </c>
      <c r="BT159" s="171">
        <f t="shared" ref="BT159" si="821">+(BT$41/BO$41)-1</f>
        <v>0.13284132841328411</v>
      </c>
      <c r="BU159" s="480">
        <f t="shared" ref="BU159" si="822">+(BU$41/BP$41)-1</f>
        <v>0.12813959406059161</v>
      </c>
      <c r="BV159" s="171">
        <f t="shared" ref="BV159" si="823">+(BV$41/BQ$41)-1</f>
        <v>5.3749330899389269E-2</v>
      </c>
      <c r="BW159" s="171">
        <f t="shared" ref="BW159" si="824">+(BW$41/BR$41)-1</f>
        <v>5.868710123837273E-2</v>
      </c>
      <c r="BX159" s="171">
        <f t="shared" ref="BX159" si="825">+(BX$41/BS$41)-1</f>
        <v>-4.4793030022113767E-2</v>
      </c>
      <c r="BY159" s="171">
        <f t="shared" ref="BY159" si="826">+(BY$41/BT$41)-1</f>
        <v>-4.5995194210440737E-2</v>
      </c>
      <c r="BZ159" s="480">
        <f t="shared" ref="BZ159" si="827">+(BZ$41/BU$41)-1</f>
        <v>2.2241282278798735E-3</v>
      </c>
      <c r="CA159" s="171">
        <f t="shared" ref="CA159" si="828">+(CA$41/BV$41)-1</f>
        <v>4.7405556568012708E-2</v>
      </c>
      <c r="CB159" s="171">
        <f t="shared" ref="CB159" si="829">+(CB$41/BW$41)-1</f>
        <v>8.2347726546516453E-2</v>
      </c>
      <c r="CC159" s="171">
        <f t="shared" ref="CC159" si="830">+(CC$41/BX$41)-1</f>
        <v>9.424652596132832E-2</v>
      </c>
      <c r="CD159" s="171">
        <f t="shared" ref="CD159" si="831">+(CD$41/BY$41)-1</f>
        <v>0.14940031558999167</v>
      </c>
      <c r="CE159" s="480">
        <f t="shared" ref="CE159" si="832">+(CE$41/BZ$41)-1</f>
        <v>9.3644196693880133E-2</v>
      </c>
    </row>
    <row r="160" spans="2:83" ht="5.25" customHeight="1">
      <c r="B160" s="434"/>
      <c r="C160" s="415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426"/>
      <c r="S160" s="171"/>
      <c r="T160" s="171"/>
      <c r="U160" s="171"/>
      <c r="V160" s="171"/>
      <c r="W160" s="480"/>
      <c r="X160" s="171"/>
      <c r="Y160" s="171"/>
      <c r="Z160" s="171"/>
      <c r="AA160" s="171"/>
      <c r="AB160" s="480"/>
      <c r="AC160" s="171"/>
      <c r="AD160" s="171"/>
      <c r="AE160" s="171"/>
      <c r="AF160" s="426"/>
      <c r="AG160" s="480"/>
      <c r="AH160" s="426"/>
      <c r="AI160" s="426"/>
      <c r="AJ160" s="426"/>
      <c r="AK160" s="426"/>
      <c r="AL160" s="480"/>
      <c r="AM160" s="426"/>
      <c r="AN160" s="426"/>
      <c r="AO160" s="426"/>
      <c r="AP160" s="426"/>
      <c r="AQ160" s="480"/>
      <c r="AR160" s="171"/>
      <c r="AS160" s="171"/>
      <c r="AT160" s="171"/>
      <c r="AU160" s="171"/>
      <c r="AV160" s="480"/>
      <c r="AW160" s="171"/>
      <c r="AX160" s="171"/>
      <c r="AY160" s="171"/>
      <c r="AZ160" s="171"/>
      <c r="BA160" s="480"/>
      <c r="BB160" s="171"/>
      <c r="BC160" s="171"/>
      <c r="BD160" s="171"/>
      <c r="BE160" s="171"/>
      <c r="BF160" s="480"/>
      <c r="BG160" s="171"/>
      <c r="BH160" s="171"/>
      <c r="BI160" s="171"/>
      <c r="BJ160" s="171"/>
      <c r="BK160" s="480"/>
      <c r="BL160" s="171"/>
      <c r="BM160" s="171"/>
      <c r="BN160" s="171"/>
      <c r="BO160" s="171"/>
      <c r="BP160" s="480"/>
      <c r="BQ160" s="171"/>
      <c r="BR160" s="171"/>
      <c r="BS160" s="171"/>
      <c r="BT160" s="171"/>
      <c r="BU160" s="480"/>
      <c r="BV160" s="171"/>
      <c r="BW160" s="171"/>
      <c r="BX160" s="171"/>
      <c r="BY160" s="171"/>
      <c r="BZ160" s="480"/>
      <c r="CA160" s="171"/>
      <c r="CB160" s="171"/>
      <c r="CC160" s="171"/>
      <c r="CD160" s="171"/>
      <c r="CE160" s="480"/>
    </row>
    <row r="161" spans="2:83" ht="12.6" customHeight="1">
      <c r="B161" s="420"/>
      <c r="C161" s="42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426"/>
      <c r="S161" s="171"/>
      <c r="T161" s="171"/>
      <c r="U161" s="171"/>
      <c r="V161" s="171"/>
      <c r="W161" s="480"/>
      <c r="X161" s="171"/>
      <c r="Y161" s="171"/>
      <c r="Z161" s="171"/>
      <c r="AA161" s="171"/>
      <c r="AB161" s="480"/>
      <c r="AC161" s="171"/>
      <c r="AD161" s="171"/>
      <c r="AE161" s="171"/>
      <c r="AF161" s="426"/>
      <c r="AG161" s="480"/>
      <c r="AH161" s="426"/>
      <c r="AI161" s="426"/>
      <c r="AJ161" s="426"/>
      <c r="AK161" s="426"/>
      <c r="AL161" s="480"/>
      <c r="AM161" s="426"/>
      <c r="AN161" s="426"/>
      <c r="AO161" s="426"/>
      <c r="AP161" s="426"/>
      <c r="AQ161" s="480"/>
      <c r="AR161" s="171"/>
      <c r="AS161" s="171"/>
      <c r="AT161" s="171"/>
      <c r="AU161" s="171"/>
      <c r="AV161" s="480"/>
      <c r="AW161" s="171"/>
      <c r="AX161" s="171"/>
      <c r="AY161" s="171"/>
      <c r="AZ161" s="171"/>
      <c r="BA161" s="480"/>
      <c r="BB161" s="171"/>
      <c r="BC161" s="171"/>
      <c r="BD161" s="171"/>
      <c r="BE161" s="171"/>
      <c r="BF161" s="480"/>
      <c r="BG161" s="171"/>
      <c r="BH161" s="171"/>
      <c r="BI161" s="171"/>
      <c r="BJ161" s="171"/>
      <c r="BK161" s="480"/>
      <c r="BL161" s="171"/>
      <c r="BM161" s="171"/>
      <c r="BN161" s="171"/>
      <c r="BO161" s="171"/>
      <c r="BP161" s="480"/>
      <c r="BQ161" s="171"/>
      <c r="BR161" s="171"/>
      <c r="BS161" s="171"/>
      <c r="BT161" s="171"/>
      <c r="BU161" s="480"/>
      <c r="BV161" s="171"/>
      <c r="BW161" s="171"/>
      <c r="BX161" s="171"/>
      <c r="BY161" s="171"/>
      <c r="BZ161" s="480"/>
      <c r="CA161" s="171"/>
      <c r="CB161" s="171"/>
      <c r="CC161" s="171"/>
      <c r="CD161" s="171"/>
      <c r="CE161" s="480"/>
    </row>
    <row r="162" spans="2:83" ht="12.75">
      <c r="B162" s="420"/>
      <c r="C162" s="42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426"/>
      <c r="S162" s="171"/>
      <c r="T162" s="171"/>
      <c r="U162" s="171"/>
      <c r="V162" s="171"/>
      <c r="W162" s="480"/>
      <c r="X162" s="171"/>
      <c r="Y162" s="171"/>
      <c r="Z162" s="171"/>
      <c r="AA162" s="171"/>
      <c r="AB162" s="480"/>
      <c r="AC162" s="171"/>
      <c r="AD162" s="171"/>
      <c r="AE162" s="171"/>
      <c r="AF162" s="426"/>
      <c r="AG162" s="480"/>
      <c r="AH162" s="426"/>
      <c r="AI162" s="426"/>
      <c r="AJ162" s="426"/>
      <c r="AK162" s="426"/>
      <c r="AL162" s="480"/>
      <c r="AM162" s="426"/>
      <c r="AN162" s="426"/>
      <c r="AO162" s="426"/>
      <c r="AP162" s="426"/>
      <c r="AQ162" s="480"/>
      <c r="AR162" s="171"/>
      <c r="AS162" s="171"/>
      <c r="AT162" s="171"/>
      <c r="AU162" s="171"/>
      <c r="AV162" s="480"/>
      <c r="AW162" s="171"/>
      <c r="AX162" s="171"/>
      <c r="AY162" s="171"/>
      <c r="AZ162" s="171"/>
      <c r="BA162" s="480"/>
      <c r="BB162" s="171"/>
      <c r="BC162" s="171"/>
      <c r="BD162" s="171"/>
      <c r="BE162" s="171"/>
      <c r="BF162" s="480"/>
      <c r="BG162" s="171"/>
      <c r="BH162" s="171"/>
      <c r="BI162" s="171"/>
      <c r="BJ162" s="171"/>
      <c r="BK162" s="480"/>
      <c r="BL162" s="171"/>
      <c r="BM162" s="171"/>
      <c r="BN162" s="171"/>
      <c r="BO162" s="171"/>
      <c r="BP162" s="480"/>
      <c r="BQ162" s="171"/>
      <c r="BR162" s="171"/>
      <c r="BS162" s="171"/>
      <c r="BT162" s="171"/>
      <c r="BU162" s="480"/>
      <c r="BV162" s="171"/>
      <c r="BW162" s="171"/>
      <c r="BX162" s="171"/>
      <c r="BY162" s="171"/>
      <c r="BZ162" s="480"/>
      <c r="CA162" s="171"/>
      <c r="CB162" s="171"/>
      <c r="CC162" s="171"/>
      <c r="CD162" s="171"/>
      <c r="CE162" s="480"/>
    </row>
    <row r="163" spans="2:83" ht="12.75" hidden="1">
      <c r="B163" s="420" t="s">
        <v>289</v>
      </c>
      <c r="C163" s="421"/>
      <c r="D163" s="171"/>
      <c r="E163" s="171"/>
      <c r="F163" s="171"/>
      <c r="G163" s="171"/>
      <c r="H163" s="171"/>
      <c r="I163" s="171">
        <f>+(I$45/D$45)-1</f>
        <v>-0.72307692307692306</v>
      </c>
      <c r="J163" s="171">
        <f t="shared" ref="J163:AV163" si="833">+(J$45/E$45)-1</f>
        <v>-0.76</v>
      </c>
      <c r="K163" s="171">
        <f t="shared" si="833"/>
        <v>-0.81578947368421051</v>
      </c>
      <c r="L163" s="171">
        <f t="shared" si="833"/>
        <v>-0.84615384615384615</v>
      </c>
      <c r="M163" s="171">
        <f t="shared" si="833"/>
        <v>-0.77604166666666663</v>
      </c>
      <c r="N163" s="171">
        <f t="shared" si="833"/>
        <v>-0.77777777777777779</v>
      </c>
      <c r="O163" s="171">
        <f t="shared" si="833"/>
        <v>-0.75</v>
      </c>
      <c r="P163" s="171">
        <f t="shared" si="833"/>
        <v>-0.7142857142857143</v>
      </c>
      <c r="Q163" s="171">
        <f t="shared" si="833"/>
        <v>-15.5</v>
      </c>
      <c r="R163" s="426">
        <f t="shared" si="833"/>
        <v>-2.8139534883720927</v>
      </c>
      <c r="S163" s="171">
        <f t="shared" si="833"/>
        <v>-26.25</v>
      </c>
      <c r="T163" s="171">
        <f t="shared" si="833"/>
        <v>0.33333333333333326</v>
      </c>
      <c r="U163" s="171">
        <f t="shared" si="833"/>
        <v>-77.5</v>
      </c>
      <c r="V163" s="171">
        <f t="shared" si="833"/>
        <v>-1.0229885057471264</v>
      </c>
      <c r="W163" s="480">
        <f t="shared" si="833"/>
        <v>2.1794871794871793</v>
      </c>
      <c r="X163" s="171">
        <f t="shared" si="833"/>
        <v>-1.1287128712871288</v>
      </c>
      <c r="Y163" s="171">
        <f t="shared" si="833"/>
        <v>-0.75</v>
      </c>
      <c r="Z163" s="171">
        <f t="shared" si="833"/>
        <v>-1.0588235294117647</v>
      </c>
      <c r="AA163" s="171">
        <f t="shared" si="833"/>
        <v>0.5</v>
      </c>
      <c r="AB163" s="480">
        <f t="shared" si="833"/>
        <v>-1.1048387096774193</v>
      </c>
      <c r="AC163" s="171">
        <f t="shared" si="833"/>
        <v>-0.84615384615384615</v>
      </c>
      <c r="AD163" s="171">
        <f t="shared" si="833"/>
        <v>0</v>
      </c>
      <c r="AE163" s="171">
        <f t="shared" si="833"/>
        <v>-1</v>
      </c>
      <c r="AF163" s="426">
        <f t="shared" si="833"/>
        <v>-1</v>
      </c>
      <c r="AG163" s="480">
        <f t="shared" si="833"/>
        <v>-0.88461538461538458</v>
      </c>
      <c r="AH163" s="451" t="s">
        <v>240</v>
      </c>
      <c r="AI163" s="451" t="s">
        <v>240</v>
      </c>
      <c r="AJ163" s="451" t="s">
        <v>240</v>
      </c>
      <c r="AK163" s="451" t="s">
        <v>240</v>
      </c>
      <c r="AL163" s="694" t="s">
        <v>240</v>
      </c>
      <c r="AM163" s="426">
        <f t="shared" si="833"/>
        <v>0.10526315789473695</v>
      </c>
      <c r="AN163" s="426">
        <f t="shared" si="833"/>
        <v>-0.28205128205128205</v>
      </c>
      <c r="AO163" s="426">
        <f t="shared" si="833"/>
        <v>-0.19999999999999996</v>
      </c>
      <c r="AP163" s="426">
        <f t="shared" si="833"/>
        <v>-0.8666666666666667</v>
      </c>
      <c r="AQ163" s="480">
        <f t="shared" si="833"/>
        <v>-0.38372093023255816</v>
      </c>
      <c r="AR163" s="171">
        <f t="shared" si="833"/>
        <v>-0.9285714285714286</v>
      </c>
      <c r="AS163" s="171">
        <f t="shared" si="833"/>
        <v>-1</v>
      </c>
      <c r="AT163" s="171">
        <f t="shared" si="833"/>
        <v>-0.9642857142857143</v>
      </c>
      <c r="AU163" s="171">
        <f t="shared" si="833"/>
        <v>-0.375</v>
      </c>
      <c r="AV163" s="480">
        <f t="shared" si="833"/>
        <v>-0.91509433962264153</v>
      </c>
      <c r="AW163" s="171">
        <f t="shared" ref="AW163" si="834">+(AW$45/AR$45)-1</f>
        <v>0.33333333333333326</v>
      </c>
      <c r="AX163" s="232" t="s">
        <v>240</v>
      </c>
      <c r="AY163" s="171">
        <f t="shared" ref="AY163" si="835">+(AY$45/AT$45)-1</f>
        <v>-1</v>
      </c>
      <c r="AZ163" s="171">
        <f t="shared" ref="AZ163" si="836">+(AZ$45/AU$45)-1</f>
        <v>-1.8</v>
      </c>
      <c r="BA163" s="480">
        <f t="shared" ref="BA163" si="837">+(BA$45/AV$45)-1</f>
        <v>-1</v>
      </c>
      <c r="BB163" s="171">
        <f t="shared" ref="BB163" si="838">+(BB$45/AW$45)-1</f>
        <v>-1</v>
      </c>
      <c r="BC163" s="232" t="s">
        <v>240</v>
      </c>
      <c r="BD163" s="232" t="s">
        <v>240</v>
      </c>
      <c r="BE163" s="171">
        <f t="shared" ref="BE163:BG163" si="839">+(BE$45/AZ$45)-1</f>
        <v>-1</v>
      </c>
      <c r="BF163" s="694" t="s">
        <v>240</v>
      </c>
      <c r="BG163" s="171" t="e">
        <f t="shared" si="839"/>
        <v>#DIV/0!</v>
      </c>
      <c r="BH163" s="232" t="s">
        <v>240</v>
      </c>
      <c r="BI163" s="232" t="s">
        <v>240</v>
      </c>
      <c r="BJ163" s="232" t="s">
        <v>240</v>
      </c>
      <c r="BK163" s="694" t="str">
        <f>BJ163</f>
        <v>NM</v>
      </c>
      <c r="BL163" s="171" t="e">
        <f t="shared" ref="BL163" si="840">+(BL$45/BG$45)-1</f>
        <v>#DIV/0!</v>
      </c>
      <c r="BM163" s="171" t="e">
        <f t="shared" ref="BM163" si="841">+(BM$45/BH$45)-1</f>
        <v>#DIV/0!</v>
      </c>
      <c r="BN163" s="171" t="e">
        <f t="shared" ref="BN163" si="842">+(BN$45/BI$45)-1</f>
        <v>#DIV/0!</v>
      </c>
      <c r="BO163" s="171" t="e">
        <f t="shared" ref="BO163" si="843">+(BO$45/BJ$45)-1</f>
        <v>#DIV/0!</v>
      </c>
      <c r="BP163" s="480" t="e">
        <f t="shared" ref="BP163" si="844">+(BP$45/BK$45)-1</f>
        <v>#DIV/0!</v>
      </c>
      <c r="BQ163" s="171" t="e">
        <f t="shared" ref="BQ163" si="845">+(BQ$45/BL$45)-1</f>
        <v>#DIV/0!</v>
      </c>
      <c r="BR163" s="171" t="e">
        <f t="shared" ref="BR163" si="846">+(BR$45/BM$45)-1</f>
        <v>#DIV/0!</v>
      </c>
      <c r="BS163" s="171" t="e">
        <f t="shared" ref="BS163" si="847">+(BS$45/BN$45)-1</f>
        <v>#DIV/0!</v>
      </c>
      <c r="BT163" s="171" t="e">
        <f t="shared" ref="BT163" si="848">+(BT$45/BO$45)-1</f>
        <v>#DIV/0!</v>
      </c>
      <c r="BU163" s="480" t="e">
        <f t="shared" ref="BU163" si="849">+(BU$45/BP$45)-1</f>
        <v>#DIV/0!</v>
      </c>
      <c r="BV163" s="171" t="e">
        <f t="shared" ref="BV163" si="850">+(BV$45/BQ$45)-1</f>
        <v>#DIV/0!</v>
      </c>
      <c r="BW163" s="171" t="e">
        <f t="shared" ref="BW163" si="851">+(BW$45/BR$45)-1</f>
        <v>#DIV/0!</v>
      </c>
      <c r="BX163" s="171" t="e">
        <f t="shared" ref="BX163" si="852">+(BX$45/BS$45)-1</f>
        <v>#DIV/0!</v>
      </c>
      <c r="BY163" s="171" t="e">
        <f t="shared" ref="BY163" si="853">+(BY$45/BT$45)-1</f>
        <v>#DIV/0!</v>
      </c>
      <c r="BZ163" s="480" t="e">
        <f t="shared" ref="BZ163" si="854">+(BZ$45/BU$45)-1</f>
        <v>#DIV/0!</v>
      </c>
      <c r="CA163" s="171" t="e">
        <f t="shared" ref="CA163" si="855">+(CA$45/BV$45)-1</f>
        <v>#DIV/0!</v>
      </c>
      <c r="CB163" s="171" t="e">
        <f t="shared" ref="CB163" si="856">+(CB$45/BW$45)-1</f>
        <v>#DIV/0!</v>
      </c>
      <c r="CC163" s="171" t="e">
        <f t="shared" ref="CC163" si="857">+(CC$45/BX$45)-1</f>
        <v>#DIV/0!</v>
      </c>
      <c r="CD163" s="171" t="e">
        <f t="shared" ref="CD163" si="858">+(CD$45/BY$45)-1</f>
        <v>#DIV/0!</v>
      </c>
      <c r="CE163" s="480" t="e">
        <f t="shared" ref="CE163" si="859">+(CE$45/BZ$45)-1</f>
        <v>#DIV/0!</v>
      </c>
    </row>
    <row r="164" spans="2:83" ht="12.6" customHeight="1">
      <c r="B164" s="420" t="s">
        <v>290</v>
      </c>
      <c r="C164" s="421"/>
      <c r="D164" s="171"/>
      <c r="E164" s="171"/>
      <c r="F164" s="171"/>
      <c r="G164" s="171"/>
      <c r="H164" s="171"/>
      <c r="I164" s="171" t="s">
        <v>240</v>
      </c>
      <c r="J164" s="171">
        <f t="shared" ref="J164:AL164" si="860">+(J$46/E$46)-1</f>
        <v>80</v>
      </c>
      <c r="K164" s="171">
        <f t="shared" si="860"/>
        <v>114</v>
      </c>
      <c r="L164" s="171">
        <f t="shared" si="860"/>
        <v>7.5</v>
      </c>
      <c r="M164" s="171">
        <f t="shared" si="860"/>
        <v>25.785714285714285</v>
      </c>
      <c r="N164" s="171">
        <f t="shared" si="860"/>
        <v>0.40259740259740262</v>
      </c>
      <c r="O164" s="171">
        <f t="shared" si="860"/>
        <v>0.60493827160493829</v>
      </c>
      <c r="P164" s="171">
        <f t="shared" si="860"/>
        <v>0.10434782608695659</v>
      </c>
      <c r="Q164" s="171">
        <f t="shared" si="860"/>
        <v>-1</v>
      </c>
      <c r="R164" s="426">
        <f t="shared" si="860"/>
        <v>-2.6666666666666616E-2</v>
      </c>
      <c r="S164" s="171">
        <f t="shared" si="860"/>
        <v>-1</v>
      </c>
      <c r="T164" s="171">
        <f t="shared" si="860"/>
        <v>1.538461538461533E-2</v>
      </c>
      <c r="U164" s="171">
        <f t="shared" si="860"/>
        <v>-1</v>
      </c>
      <c r="V164" s="171" t="s">
        <v>240</v>
      </c>
      <c r="W164" s="480">
        <f t="shared" si="860"/>
        <v>-0.13424657534246576</v>
      </c>
      <c r="X164" s="171" t="e">
        <f t="shared" si="860"/>
        <v>#DIV/0!</v>
      </c>
      <c r="Y164" s="171">
        <f t="shared" si="860"/>
        <v>1.1969696969696968</v>
      </c>
      <c r="Z164" s="171" t="s">
        <v>240</v>
      </c>
      <c r="AA164" s="171">
        <f t="shared" si="860"/>
        <v>1.2663043478260869</v>
      </c>
      <c r="AB164" s="480">
        <f t="shared" si="860"/>
        <v>3.1772151898734178</v>
      </c>
      <c r="AC164" s="171">
        <f t="shared" si="860"/>
        <v>0.92399999999999993</v>
      </c>
      <c r="AD164" s="171">
        <f t="shared" si="860"/>
        <v>0.86551724137931041</v>
      </c>
      <c r="AE164" s="171">
        <f t="shared" si="860"/>
        <v>1.0743801652892562</v>
      </c>
      <c r="AF164" s="426">
        <f t="shared" si="860"/>
        <v>1.1558752997601918</v>
      </c>
      <c r="AG164" s="480">
        <f t="shared" si="860"/>
        <v>1.0257575757575759</v>
      </c>
      <c r="AH164" s="426">
        <f t="shared" si="860"/>
        <v>1.2661122661122661</v>
      </c>
      <c r="AI164" s="426">
        <f t="shared" si="860"/>
        <v>1.6839186691312387</v>
      </c>
      <c r="AJ164" s="426">
        <f t="shared" si="860"/>
        <v>1.192563081009296</v>
      </c>
      <c r="AK164" s="426">
        <f t="shared" si="860"/>
        <v>1.0989988876529475</v>
      </c>
      <c r="AL164" s="480">
        <f t="shared" si="860"/>
        <v>1.2737471952131636</v>
      </c>
      <c r="AM164" s="426">
        <f t="shared" ref="AM164" si="861">+(AM$46/AH$46)-1</f>
        <v>0.88165137614678901</v>
      </c>
      <c r="AN164" s="426">
        <f t="shared" ref="AN164" si="862">+(AN$46/AI$46)-1</f>
        <v>0.51377410468319562</v>
      </c>
      <c r="AO164" s="426">
        <f t="shared" ref="AO164" si="863">+(AO$46/AJ$46)-1</f>
        <v>0.29739551786795881</v>
      </c>
      <c r="AP164" s="426">
        <f t="shared" ref="AP164" si="864">+(AP$46/AK$46)-1</f>
        <v>8.744038155802869E-2</v>
      </c>
      <c r="AQ164" s="480">
        <f t="shared" ref="AQ164" si="865">+(AQ$46/AL$46)-1</f>
        <v>0.38865131578947376</v>
      </c>
      <c r="AR164" s="171">
        <f t="shared" ref="AR164" si="866">+(AR$46/AM$46)-1</f>
        <v>-6.1921014139444175E-2</v>
      </c>
      <c r="AS164" s="171">
        <f t="shared" ref="AS164" si="867">+(AS$46/AN$46)-1</f>
        <v>-0.36669699727024563</v>
      </c>
      <c r="AT164" s="171">
        <f t="shared" ref="AT164" si="868">+(AT$46/AO$46)-1</f>
        <v>-0.47572362278244629</v>
      </c>
      <c r="AU164" s="171">
        <f t="shared" ref="AU164" si="869">+(AU$46/AP$46)-1</f>
        <v>-0.53898635477582846</v>
      </c>
      <c r="AV164" s="480">
        <f t="shared" ref="AV164" si="870">+(AV$46/AQ$46)-1</f>
        <v>-0.36219353310434677</v>
      </c>
      <c r="AW164" s="171">
        <f t="shared" ref="AW164" si="871">+(AW$46/AR$46)-1</f>
        <v>-0.61226611226611227</v>
      </c>
      <c r="AX164" s="171">
        <f t="shared" ref="AX164" si="872">+(AX$46/AS$46)-1</f>
        <v>-0.59267241379310343</v>
      </c>
      <c r="AY164" s="171">
        <f t="shared" ref="AY164" si="873">+(AY$46/AT$46)-1</f>
        <v>-0.5325022261798753</v>
      </c>
      <c r="AZ164" s="171">
        <f t="shared" ref="AZ164" si="874">+(AZ$46/AU$46)-1</f>
        <v>-0.52536997885835102</v>
      </c>
      <c r="BA164" s="480">
        <f t="shared" ref="BA164" si="875">+(BA$46/AV$46)-1</f>
        <v>-0.57530176415970291</v>
      </c>
      <c r="BB164" s="171">
        <f t="shared" ref="BB164" si="876">+(BB$46/AW$46)-1</f>
        <v>-0.30563002680965146</v>
      </c>
      <c r="BC164" s="171">
        <f t="shared" ref="BC164" si="877">+(BC$46/AX$46)-1</f>
        <v>0.47971781305114636</v>
      </c>
      <c r="BD164" s="171">
        <f t="shared" ref="BD164" si="878">+(BD$46/AY$46)-1</f>
        <v>1.9866666666666668</v>
      </c>
      <c r="BE164" s="171">
        <f t="shared" ref="BE164" si="879">+(BE$46/AZ$46)-1</f>
        <v>4.046770601336303</v>
      </c>
      <c r="BF164" s="480">
        <f t="shared" ref="BF164" si="880">+(BF$46/BA$46)-1</f>
        <v>1.269785745518146</v>
      </c>
      <c r="BG164" s="171">
        <f t="shared" ref="BG164" si="881">+(BG$46/BB$46)-1</f>
        <v>3.6274131274131278</v>
      </c>
      <c r="BH164" s="171">
        <f t="shared" ref="BH164" si="882">+(BH$46/BC$46)-1</f>
        <v>3.5399284862932063</v>
      </c>
      <c r="BI164" s="171">
        <f t="shared" ref="BI164" si="883">+(BI$46/BD$46)-1</f>
        <v>2.2755102040816326</v>
      </c>
      <c r="BJ164" s="171">
        <f t="shared" ref="BJ164" si="884">+(BJ$46/BE$46)-1</f>
        <v>1.4549867608120035</v>
      </c>
      <c r="BK164" s="480">
        <f t="shared" ref="BK164" si="885">+(BK$46/BF$46)-1</f>
        <v>2.2565979580042379</v>
      </c>
      <c r="BL164" s="171">
        <f t="shared" ref="BL164" si="886">+(BL$46/BG$46)-1</f>
        <v>1.5544430538172715</v>
      </c>
      <c r="BM164" s="171">
        <f t="shared" ref="BM164" si="887">+(BM$46/BH$46)-1</f>
        <v>0.75977946967708054</v>
      </c>
      <c r="BN164" s="171">
        <f t="shared" ref="BN164" si="888">+(BN$46/BI$46)-1</f>
        <v>0.31697819314641751</v>
      </c>
      <c r="BO164" s="171">
        <f t="shared" ref="BO164" si="889">+(BO$46/BJ$46)-1</f>
        <v>0.11342800647132845</v>
      </c>
      <c r="BP164" s="480">
        <f t="shared" ref="BP164" si="890">+(BP$46/BK$46)-1</f>
        <v>0.5252292221236321</v>
      </c>
      <c r="BQ164" s="171">
        <f t="shared" ref="BQ164" si="891">+(BQ$46/BL$46)-1</f>
        <v>1.8291687081495978E-2</v>
      </c>
      <c r="BR164" s="171">
        <f t="shared" ref="BR164" si="892">+(BR$46/BM$46)-1</f>
        <v>-4.415933164254815E-2</v>
      </c>
      <c r="BS164" s="171">
        <f t="shared" ref="BS164" si="893">+(BS$46/BN$46)-1</f>
        <v>-7.3920756948551158E-2</v>
      </c>
      <c r="BT164" s="171">
        <f t="shared" ref="BT164" si="894">+(BT$46/BO$46)-1</f>
        <v>2.437843073942525E-2</v>
      </c>
      <c r="BU164" s="480">
        <f t="shared" ref="BU164" si="895">+(BU$46/BP$46)-1</f>
        <v>-2.0671734408935771E-2</v>
      </c>
      <c r="BV164" s="171">
        <f t="shared" ref="BV164" si="896">+(BV$46/BQ$46)-1</f>
        <v>1.6038492381715841E-3</v>
      </c>
      <c r="BW164" s="171">
        <f t="shared" ref="BW164" si="897">+(BW$46/BR$46)-1</f>
        <v>-4.0892773528952708E-2</v>
      </c>
      <c r="BX164" s="171">
        <f t="shared" ref="BX164" si="898">+(BX$46/BS$46)-1</f>
        <v>-3.4961685823754807E-2</v>
      </c>
      <c r="BY164" s="171">
        <f t="shared" ref="BY164" si="899">+(BY$46/BT$46)-1</f>
        <v>-6.3041765169424724E-2</v>
      </c>
      <c r="BZ164" s="480">
        <f t="shared" ref="BZ164" si="900">+(BZ$46/BU$46)-1</f>
        <v>-3.4493683418478471E-2</v>
      </c>
      <c r="CA164" s="171">
        <f t="shared" ref="CA164" si="901">+(CA$46/BV$46)-1</f>
        <v>-4.8038430744595684E-2</v>
      </c>
      <c r="CB164" s="171">
        <f t="shared" ref="CB164" si="902">+(CB$46/BW$46)-1</f>
        <v>-3.2546786004882033E-2</v>
      </c>
      <c r="CC164" s="171">
        <f t="shared" ref="CC164" si="903">+(CC$46/BX$46)-1</f>
        <v>-1.6542597187758523E-2</v>
      </c>
      <c r="CD164" s="171">
        <f t="shared" ref="CD164" si="904">+(CD$46/BY$46)-1</f>
        <v>0</v>
      </c>
      <c r="CE164" s="480">
        <f t="shared" ref="CE164" si="905">+(CE$46/BZ$46)-1</f>
        <v>-2.4610336341263306E-2</v>
      </c>
    </row>
    <row r="165" spans="2:83" ht="12.6" customHeight="1">
      <c r="B165" s="420" t="s">
        <v>291</v>
      </c>
      <c r="C165" s="421"/>
      <c r="D165" s="171"/>
      <c r="E165" s="171"/>
      <c r="F165" s="171"/>
      <c r="G165" s="171"/>
      <c r="H165" s="171"/>
      <c r="I165" s="171">
        <f>+(I$47/D$47)-1</f>
        <v>25.583333333333332</v>
      </c>
      <c r="J165" s="171">
        <f t="shared" ref="J165:AL165" si="906">+(J$47/E$47)-1</f>
        <v>-1.3586956521739131</v>
      </c>
      <c r="K165" s="171">
        <f t="shared" si="906"/>
        <v>-2.4</v>
      </c>
      <c r="L165" s="171">
        <f t="shared" si="906"/>
        <v>2.0833333333333259E-2</v>
      </c>
      <c r="M165" s="171">
        <f t="shared" si="906"/>
        <v>1.75</v>
      </c>
      <c r="N165" s="171">
        <f t="shared" si="906"/>
        <v>-0.68338557993730409</v>
      </c>
      <c r="O165" s="171">
        <f t="shared" si="906"/>
        <v>-2.1212121212121211</v>
      </c>
      <c r="P165" s="171">
        <f t="shared" si="906"/>
        <v>0.6785714285714286</v>
      </c>
      <c r="Q165" s="171">
        <f t="shared" si="906"/>
        <v>3.4557823129251704</v>
      </c>
      <c r="R165" s="426">
        <f t="shared" si="906"/>
        <v>0.80657640232108307</v>
      </c>
      <c r="S165" s="171">
        <f t="shared" si="906"/>
        <v>0.76237623762376239</v>
      </c>
      <c r="T165" s="171">
        <f t="shared" si="906"/>
        <v>-1</v>
      </c>
      <c r="U165" s="171">
        <f t="shared" si="906"/>
        <v>1.1773049645390072</v>
      </c>
      <c r="V165" s="171">
        <f t="shared" si="906"/>
        <v>-0.4427480916030534</v>
      </c>
      <c r="W165" s="480">
        <f t="shared" si="906"/>
        <v>-8.9935760171306223E-2</v>
      </c>
      <c r="X165" s="171">
        <f t="shared" si="906"/>
        <v>-0.61235955056179781</v>
      </c>
      <c r="Y165" s="171" t="e">
        <f t="shared" si="906"/>
        <v>#DIV/0!</v>
      </c>
      <c r="Z165" s="171">
        <f t="shared" si="906"/>
        <v>-0.59609120521172643</v>
      </c>
      <c r="AA165" s="171">
        <f t="shared" si="906"/>
        <v>0.45205479452054798</v>
      </c>
      <c r="AB165" s="480">
        <f t="shared" si="906"/>
        <v>0.14352941176470591</v>
      </c>
      <c r="AC165" s="171">
        <f t="shared" si="906"/>
        <v>-0.62318840579710144</v>
      </c>
      <c r="AD165" s="171">
        <f t="shared" si="906"/>
        <v>-0.27710843373493976</v>
      </c>
      <c r="AE165" s="171">
        <f t="shared" si="906"/>
        <v>-0.33870967741935487</v>
      </c>
      <c r="AF165" s="426">
        <f t="shared" si="906"/>
        <v>-0.53396226415094339</v>
      </c>
      <c r="AG165" s="480">
        <f t="shared" si="906"/>
        <v>-0.44958847736625518</v>
      </c>
      <c r="AH165" s="426">
        <f t="shared" si="906"/>
        <v>-8.4230769230769234</v>
      </c>
      <c r="AI165" s="426">
        <f t="shared" si="906"/>
        <v>1.9388888888888891</v>
      </c>
      <c r="AJ165" s="426">
        <f t="shared" si="906"/>
        <v>5.0975609756097562</v>
      </c>
      <c r="AK165" s="426">
        <f t="shared" si="906"/>
        <v>-1.1417004048582995</v>
      </c>
      <c r="AL165" s="480">
        <f t="shared" si="906"/>
        <v>0.49719626168224296</v>
      </c>
      <c r="AM165" s="426">
        <f t="shared" ref="AM165" si="907">+(AM$47/AH$47)-1</f>
        <v>-2.1554404145077721</v>
      </c>
      <c r="AN165" s="426">
        <f t="shared" ref="AN165" si="908">+(AN$47/AI$47)-1</f>
        <v>-1.4366729678638941</v>
      </c>
      <c r="AO165" s="426">
        <f t="shared" ref="AO165" si="909">+(AO$47/AJ$47)-1</f>
        <v>-0.34399999999999997</v>
      </c>
      <c r="AP165" s="426">
        <f t="shared" ref="AP165" si="910">+(AP$47/AK$47)-1</f>
        <v>-9.1999999999999993</v>
      </c>
      <c r="AQ165" s="480">
        <f t="shared" ref="AQ165" si="911">+(AQ$47/AL$47)-1</f>
        <v>-0.24219725343320853</v>
      </c>
      <c r="AR165" s="171">
        <f t="shared" ref="AR165" si="912">+(AR$47/AM$47)-1</f>
        <v>-0.39461883408071752</v>
      </c>
      <c r="AS165" s="171">
        <f t="shared" ref="AS165" si="913">+(AS$47/AN$47)-1</f>
        <v>-0.16017316017316019</v>
      </c>
      <c r="AT165" s="171">
        <f t="shared" ref="AT165" si="914">+(AT$47/AO$47)-1</f>
        <v>-1.6371951219512195</v>
      </c>
      <c r="AU165" s="171">
        <f t="shared" ref="AU165" si="915">+(AU$47/AP$47)-1</f>
        <v>-9.0592334494773552E-2</v>
      </c>
      <c r="AV165" s="480">
        <f t="shared" ref="AV165" si="916">+(AV$47/AQ$47)-1</f>
        <v>-1.0115321252059308</v>
      </c>
      <c r="AW165" s="171">
        <f t="shared" ref="AW165" si="917">+(AW$47/AR$47)-1</f>
        <v>0.80740740740740735</v>
      </c>
      <c r="AX165" s="171">
        <f t="shared" ref="AX165" si="918">+(AX$47/AS$47)-1</f>
        <v>-1.4123711340206184</v>
      </c>
      <c r="AY165" s="171">
        <f t="shared" ref="AY165" si="919">+(AY$47/AT$47)-1</f>
        <v>-3.1578947368421053</v>
      </c>
      <c r="AZ165" s="171">
        <f t="shared" ref="AZ165" si="920">+(AZ$47/AU$47)-1</f>
        <v>-1.7739463601532566</v>
      </c>
      <c r="BA165" s="480">
        <f t="shared" ref="BA165" si="921">+(BA$47/AV$47)-1</f>
        <v>-82.857142857142861</v>
      </c>
      <c r="BB165" s="171">
        <f t="shared" ref="BB165" si="922">+(BB$47/AW$47)-1</f>
        <v>1.9098360655737703</v>
      </c>
      <c r="BC165" s="171">
        <f t="shared" ref="BC165" si="923">+(BC$47/AX$47)-1</f>
        <v>20.375</v>
      </c>
      <c r="BD165" s="171">
        <f t="shared" ref="BD165" si="924">+(BD$47/AY$47)-1</f>
        <v>1.3858093126385809</v>
      </c>
      <c r="BE165" s="171">
        <f t="shared" ref="BE165" si="925">+(BE$47/AZ$47)-1</f>
        <v>6.217821782178218</v>
      </c>
      <c r="BF165" s="480">
        <f t="shared" ref="BF165" si="926">+(BF$47/BA$47)-1</f>
        <v>2.5567190226876089</v>
      </c>
      <c r="BG165" s="171">
        <f t="shared" ref="BG165" si="927">+(BG$47/BB$47)-1</f>
        <v>-0.6957746478873239</v>
      </c>
      <c r="BH165" s="171">
        <f t="shared" ref="BH165" si="928">+(BH$47/BC$47)-1</f>
        <v>-0.43918128654970756</v>
      </c>
      <c r="BI165" s="171">
        <f t="shared" ref="BI165" si="929">+(BI$47/BD$47)-1</f>
        <v>-0.34200743494423791</v>
      </c>
      <c r="BJ165" s="171">
        <f t="shared" ref="BJ165" si="930">+(BJ$47/BE$47)-1</f>
        <v>-0.61591220850480111</v>
      </c>
      <c r="BK165" s="480">
        <f t="shared" ref="BK165" si="931">+(BK$47/BF$47)-1</f>
        <v>-0.35083415112855743</v>
      </c>
      <c r="BL165" s="171">
        <f t="shared" ref="BL165" si="932">+(BL$47/BG$47)-1</f>
        <v>5.4768518518518521</v>
      </c>
      <c r="BM165" s="171">
        <f t="shared" ref="BM165" si="933">+(BM$47/BH$47)-1</f>
        <v>-0.38790406673618349</v>
      </c>
      <c r="BN165" s="171">
        <f t="shared" ref="BN165" si="934">+(BN$47/BI$47)-1</f>
        <v>-1.8545197740112993</v>
      </c>
      <c r="BO165" s="171">
        <f t="shared" ref="BO165" si="935">+(BO$47/BJ$47)-1</f>
        <v>-4.1732142857142858</v>
      </c>
      <c r="BP165" s="480">
        <f t="shared" ref="BP165" si="936">+(BP$47/BK$47)-1</f>
        <v>1.3869992441421011</v>
      </c>
      <c r="BQ165" s="171">
        <f t="shared" ref="BQ165" si="937">+(BQ$47/BL$47)-1</f>
        <v>-1.2265904217298069</v>
      </c>
      <c r="BR165" s="171">
        <f t="shared" ref="BR165" si="938">+(BR$47/BM$47)-1</f>
        <v>-2.7018739352640546</v>
      </c>
      <c r="BS165" s="171">
        <f t="shared" ref="BS165" si="939">+(BS$47/BN$47)-1</f>
        <v>-2.5487603305785127</v>
      </c>
      <c r="BT165" s="171">
        <f t="shared" ref="BT165" si="940">+(BT$47/BO$47)-1</f>
        <v>-0.57568936409679239</v>
      </c>
      <c r="BU165" s="480">
        <f t="shared" ref="BU165" si="941">+(BU$47/BP$47)-1</f>
        <v>-0.88125395820139329</v>
      </c>
      <c r="BV165" s="171">
        <f t="shared" ref="BV165" si="942">+(BV$47/BQ$47)-1</f>
        <v>-3.3785488958990535</v>
      </c>
      <c r="BW165" s="171">
        <f t="shared" ref="BW165" si="943">+(BW$47/BR$47)-1</f>
        <v>-1.7547547547547548</v>
      </c>
      <c r="BX165" s="171">
        <f t="shared" ref="BX165" si="944">+(BX$47/BS$47)-1</f>
        <v>-0.19530416221985059</v>
      </c>
      <c r="BY165" s="171">
        <f t="shared" ref="BY165" si="945">+(BY$47/BT$47)-1</f>
        <v>0</v>
      </c>
      <c r="BZ165" s="480">
        <f t="shared" ref="BZ165" si="946">+(BZ$47/BU$47)-1</f>
        <v>7.0426666666666673</v>
      </c>
      <c r="CA165" s="171">
        <f t="shared" ref="CA165" si="947">+(CA$47/BV$47)-1</f>
        <v>0</v>
      </c>
      <c r="CB165" s="171">
        <f t="shared" ref="CB165" si="948">+(CB$47/BW$47)-1</f>
        <v>0</v>
      </c>
      <c r="CC165" s="171">
        <f t="shared" ref="CC165" si="949">+(CC$47/BX$47)-1</f>
        <v>0</v>
      </c>
      <c r="CD165" s="171">
        <f t="shared" ref="CD165" si="950">+(CD$47/BY$47)-1</f>
        <v>0</v>
      </c>
      <c r="CE165" s="480">
        <f t="shared" ref="CE165" si="951">+(CE$47/BZ$47)-1</f>
        <v>0</v>
      </c>
    </row>
    <row r="166" spans="2:83" ht="6.75" customHeight="1">
      <c r="B166" s="407"/>
      <c r="C166" s="407"/>
      <c r="D166" s="189"/>
      <c r="E166" s="189"/>
      <c r="F166" s="189"/>
      <c r="G166" s="189"/>
      <c r="H166" s="189"/>
      <c r="I166" s="189" t="s">
        <v>0</v>
      </c>
      <c r="J166" s="189" t="s">
        <v>0</v>
      </c>
      <c r="K166" s="189" t="s">
        <v>0</v>
      </c>
      <c r="L166" s="189" t="s">
        <v>0</v>
      </c>
      <c r="M166" s="189" t="s">
        <v>0</v>
      </c>
      <c r="N166" s="189" t="s">
        <v>0</v>
      </c>
      <c r="O166" s="189" t="s">
        <v>0</v>
      </c>
      <c r="P166" s="189" t="s">
        <v>0</v>
      </c>
      <c r="Q166" s="189" t="s">
        <v>0</v>
      </c>
      <c r="R166" s="423" t="s">
        <v>0</v>
      </c>
      <c r="S166" s="189" t="s">
        <v>0</v>
      </c>
      <c r="T166" s="189" t="s">
        <v>0</v>
      </c>
      <c r="U166" s="189" t="s">
        <v>0</v>
      </c>
      <c r="V166" s="189" t="s">
        <v>0</v>
      </c>
      <c r="W166" s="486" t="s">
        <v>0</v>
      </c>
      <c r="X166" s="189" t="s">
        <v>0</v>
      </c>
      <c r="Y166" s="189" t="s">
        <v>0</v>
      </c>
      <c r="Z166" s="189" t="s">
        <v>0</v>
      </c>
      <c r="AA166" s="189" t="s">
        <v>0</v>
      </c>
      <c r="AB166" s="486" t="s">
        <v>0</v>
      </c>
      <c r="AC166" s="189" t="s">
        <v>0</v>
      </c>
      <c r="AD166" s="189" t="s">
        <v>0</v>
      </c>
      <c r="AE166" s="189" t="s">
        <v>0</v>
      </c>
      <c r="AF166" s="423" t="s">
        <v>0</v>
      </c>
      <c r="AG166" s="486" t="s">
        <v>0</v>
      </c>
      <c r="AH166" s="423" t="s">
        <v>0</v>
      </c>
      <c r="AI166" s="423" t="s">
        <v>0</v>
      </c>
      <c r="AJ166" s="423" t="s">
        <v>0</v>
      </c>
      <c r="AK166" s="423" t="s">
        <v>0</v>
      </c>
      <c r="AL166" s="486" t="s">
        <v>0</v>
      </c>
      <c r="AM166" s="423" t="s">
        <v>0</v>
      </c>
      <c r="AN166" s="423" t="s">
        <v>0</v>
      </c>
      <c r="AO166" s="423" t="s">
        <v>0</v>
      </c>
      <c r="AP166" s="423" t="s">
        <v>0</v>
      </c>
      <c r="AQ166" s="486" t="s">
        <v>0</v>
      </c>
      <c r="AR166" s="189" t="s">
        <v>0</v>
      </c>
      <c r="AS166" s="189" t="s">
        <v>0</v>
      </c>
      <c r="AT166" s="189" t="s">
        <v>0</v>
      </c>
      <c r="AU166" s="189" t="s">
        <v>0</v>
      </c>
      <c r="AV166" s="486" t="s">
        <v>0</v>
      </c>
      <c r="AW166" s="189" t="s">
        <v>0</v>
      </c>
      <c r="AX166" s="189" t="s">
        <v>0</v>
      </c>
      <c r="AY166" s="189" t="s">
        <v>0</v>
      </c>
      <c r="AZ166" s="189" t="s">
        <v>0</v>
      </c>
      <c r="BA166" s="486" t="s">
        <v>0</v>
      </c>
      <c r="BB166" s="189" t="s">
        <v>0</v>
      </c>
      <c r="BC166" s="189" t="s">
        <v>0</v>
      </c>
      <c r="BD166" s="189" t="s">
        <v>0</v>
      </c>
      <c r="BE166" s="189" t="s">
        <v>0</v>
      </c>
      <c r="BF166" s="486" t="s">
        <v>0</v>
      </c>
      <c r="BG166" s="189" t="s">
        <v>0</v>
      </c>
      <c r="BH166" s="189" t="s">
        <v>0</v>
      </c>
      <c r="BI166" s="189" t="s">
        <v>0</v>
      </c>
      <c r="BJ166" s="189" t="s">
        <v>0</v>
      </c>
      <c r="BK166" s="486" t="s">
        <v>0</v>
      </c>
      <c r="BL166" s="189" t="s">
        <v>0</v>
      </c>
      <c r="BM166" s="189" t="s">
        <v>0</v>
      </c>
      <c r="BN166" s="189" t="s">
        <v>0</v>
      </c>
      <c r="BO166" s="189" t="s">
        <v>0</v>
      </c>
      <c r="BP166" s="486" t="s">
        <v>0</v>
      </c>
      <c r="BQ166" s="189" t="s">
        <v>0</v>
      </c>
      <c r="BR166" s="189" t="s">
        <v>0</v>
      </c>
      <c r="BS166" s="189" t="s">
        <v>0</v>
      </c>
      <c r="BT166" s="189" t="s">
        <v>0</v>
      </c>
      <c r="BU166" s="486" t="s">
        <v>0</v>
      </c>
      <c r="BV166" s="189" t="s">
        <v>0</v>
      </c>
      <c r="BW166" s="189" t="s">
        <v>0</v>
      </c>
      <c r="BX166" s="189" t="s">
        <v>0</v>
      </c>
      <c r="BY166" s="189" t="s">
        <v>0</v>
      </c>
      <c r="BZ166" s="486" t="s">
        <v>0</v>
      </c>
      <c r="CA166" s="189" t="s">
        <v>0</v>
      </c>
      <c r="CB166" s="189" t="s">
        <v>0</v>
      </c>
      <c r="CC166" s="189" t="s">
        <v>0</v>
      </c>
      <c r="CD166" s="189" t="s">
        <v>0</v>
      </c>
      <c r="CE166" s="486" t="s">
        <v>0</v>
      </c>
    </row>
    <row r="167" spans="2:83" ht="12.6" customHeight="1">
      <c r="B167" s="407" t="s">
        <v>10</v>
      </c>
      <c r="C167" s="407"/>
      <c r="D167" s="171"/>
      <c r="E167" s="171"/>
      <c r="F167" s="171"/>
      <c r="G167" s="171"/>
      <c r="H167" s="171"/>
      <c r="I167" s="171">
        <f>+(I$49/D$49)-1</f>
        <v>-0.1130063965884861</v>
      </c>
      <c r="J167" s="171">
        <f t="shared" ref="J167:AL167" si="952">+(J$49/E$49)-1</f>
        <v>3.196190476190476</v>
      </c>
      <c r="K167" s="171">
        <f t="shared" si="952"/>
        <v>0.13316492241068212</v>
      </c>
      <c r="L167" s="171">
        <f t="shared" si="952"/>
        <v>-0.19561478933791887</v>
      </c>
      <c r="M167" s="171">
        <f t="shared" si="952"/>
        <v>0.25266787062879636</v>
      </c>
      <c r="N167" s="171">
        <f t="shared" si="952"/>
        <v>3.490384615384615</v>
      </c>
      <c r="O167" s="171">
        <f t="shared" si="952"/>
        <v>0.97911938266000909</v>
      </c>
      <c r="P167" s="171">
        <f t="shared" si="952"/>
        <v>0.90605095541401282</v>
      </c>
      <c r="Q167" s="171">
        <f t="shared" si="952"/>
        <v>2.7904863709246319</v>
      </c>
      <c r="R167" s="426">
        <f t="shared" si="952"/>
        <v>1.5301441677588454</v>
      </c>
      <c r="S167" s="171">
        <f t="shared" si="952"/>
        <v>3.6670235546038548</v>
      </c>
      <c r="T167" s="171">
        <f t="shared" si="952"/>
        <v>1.2527522935779816</v>
      </c>
      <c r="U167" s="171">
        <f t="shared" si="952"/>
        <v>0.8621553884711779</v>
      </c>
      <c r="V167" s="171">
        <f t="shared" si="952"/>
        <v>0.73843767625493517</v>
      </c>
      <c r="W167" s="480">
        <f t="shared" si="952"/>
        <v>1.1763273763273765</v>
      </c>
      <c r="X167" s="171">
        <f t="shared" si="952"/>
        <v>0.42945629731589818</v>
      </c>
      <c r="Y167" s="171">
        <f t="shared" si="952"/>
        <v>0.20036652412950517</v>
      </c>
      <c r="Z167" s="171">
        <f t="shared" si="952"/>
        <v>0.19515477792732172</v>
      </c>
      <c r="AA167" s="171">
        <f t="shared" si="952"/>
        <v>0.1129856436045098</v>
      </c>
      <c r="AB167" s="480">
        <f t="shared" si="952"/>
        <v>0.22087875470081397</v>
      </c>
      <c r="AC167" s="171">
        <f t="shared" si="952"/>
        <v>-1.6851227732306295E-3</v>
      </c>
      <c r="AD167" s="171">
        <f t="shared" si="952"/>
        <v>0.34147582697201018</v>
      </c>
      <c r="AE167" s="171">
        <f t="shared" si="952"/>
        <v>0.45262762762762754</v>
      </c>
      <c r="AF167" s="426">
        <f t="shared" si="952"/>
        <v>0.40555312636641894</v>
      </c>
      <c r="AG167" s="480">
        <f t="shared" si="952"/>
        <v>0.30410964245330829</v>
      </c>
      <c r="AH167" s="426">
        <f t="shared" si="952"/>
        <v>0.56161080299011323</v>
      </c>
      <c r="AI167" s="426">
        <f t="shared" si="952"/>
        <v>0.34363935255437528</v>
      </c>
      <c r="AJ167" s="426">
        <f t="shared" si="952"/>
        <v>0.38859889399968983</v>
      </c>
      <c r="AK167" s="426">
        <f t="shared" si="952"/>
        <v>0.27992948618240265</v>
      </c>
      <c r="AL167" s="480">
        <f t="shared" si="952"/>
        <v>0.37881392671878977</v>
      </c>
      <c r="AM167" s="426">
        <f t="shared" ref="AM167" si="953">+(AM$49/AH$49)-1</f>
        <v>0.33806876672843322</v>
      </c>
      <c r="AN167" s="426">
        <f t="shared" ref="AN167" si="954">+(AN$49/AI$49)-1</f>
        <v>0.38454660957131437</v>
      </c>
      <c r="AO167" s="426">
        <f t="shared" ref="AO167" si="955">+(AO$49/AJ$49)-1</f>
        <v>0.27430400476403149</v>
      </c>
      <c r="AP167" s="426">
        <f t="shared" ref="AP167" si="956">+(AP$49/AK$49)-1</f>
        <v>0.31860163655513252</v>
      </c>
      <c r="AQ167" s="480">
        <f t="shared" ref="AQ167" si="957">+(AQ$49/AL$49)-1</f>
        <v>0.32499213947285677</v>
      </c>
      <c r="AR167" s="171">
        <f t="shared" ref="AR167" si="958">+(AR$49/AM$49)-1</f>
        <v>0.29766117864286823</v>
      </c>
      <c r="AS167" s="171">
        <f t="shared" ref="AS167" si="959">+(AS$49/AN$49)-1</f>
        <v>0.29347789144546788</v>
      </c>
      <c r="AT167" s="171">
        <f t="shared" ref="AT167" si="960">+(AT$49/AO$49)-1</f>
        <v>0.16031894386354351</v>
      </c>
      <c r="AU167" s="171">
        <f t="shared" ref="AU167" si="961">+(AU$49/AP$49)-1</f>
        <v>0.13179318607723256</v>
      </c>
      <c r="AV167" s="480">
        <f t="shared" ref="AV167" si="962">+(AV$49/AQ$49)-1</f>
        <v>0.21399581042157623</v>
      </c>
      <c r="AW167" s="171">
        <f t="shared" ref="AW167" si="963">+(AW$49/AR$49)-1</f>
        <v>0.11578822552913981</v>
      </c>
      <c r="AX167" s="171">
        <f t="shared" ref="AX167" si="964">+(AX$49/AS$49)-1</f>
        <v>5.2288612118345679E-2</v>
      </c>
      <c r="AY167" s="171">
        <f t="shared" ref="AY167" si="965">+(AY$49/AT$49)-1</f>
        <v>8.6893045032345739E-2</v>
      </c>
      <c r="AZ167" s="171">
        <f t="shared" ref="AZ167" si="966">+(AZ$49/AU$49)-1</f>
        <v>0.16093482804484127</v>
      </c>
      <c r="BA167" s="480">
        <f t="shared" ref="BA167" si="967">+(BA$49/AV$49)-1</f>
        <v>0.10297249932596397</v>
      </c>
      <c r="BB167" s="171">
        <f t="shared" ref="BB167" si="968">+(BB$49/AW$49)-1</f>
        <v>0.24319872476089266</v>
      </c>
      <c r="BC167" s="171">
        <f t="shared" ref="BC167" si="969">+(BC$49/AX$49)-1</f>
        <v>0.15900918897323213</v>
      </c>
      <c r="BD167" s="171">
        <f t="shared" ref="BD167" si="970">+(BD$49/AY$49)-1</f>
        <v>0.12265221519720226</v>
      </c>
      <c r="BE167" s="171">
        <f t="shared" ref="BE167" si="971">+(BE$49/AZ$49)-1</f>
        <v>0.19497311199438849</v>
      </c>
      <c r="BF167" s="480">
        <f t="shared" ref="BF167" si="972">+(BF$49/BA$49)-1</f>
        <v>0.17818097374065767</v>
      </c>
      <c r="BG167" s="171">
        <f t="shared" ref="BG167" si="973">+(BG$49/BB$49)-1</f>
        <v>0.15749882463563702</v>
      </c>
      <c r="BH167" s="171">
        <f t="shared" ref="BH167" si="974">+(BH$49/BC$49)-1</f>
        <v>0.34552740434332985</v>
      </c>
      <c r="BI167" s="171">
        <f t="shared" ref="BI167" si="975">+(BI$49/BD$49)-1</f>
        <v>0.38869520371325428</v>
      </c>
      <c r="BJ167" s="171">
        <f t="shared" ref="BJ167" si="976">+(BJ$49/BE$49)-1</f>
        <v>0.3086149210510869</v>
      </c>
      <c r="BK167" s="480">
        <f t="shared" ref="BK167" si="977">+(BK$49/BF$49)-1</f>
        <v>0.30095853605402656</v>
      </c>
      <c r="BL167" s="171">
        <f t="shared" ref="BL167" si="978">+(BL$49/BG$49)-1</f>
        <v>0.27922605420574542</v>
      </c>
      <c r="BM167" s="171">
        <f t="shared" ref="BM167" si="979">+(BM$49/BH$49)-1</f>
        <v>0.1535049796650334</v>
      </c>
      <c r="BN167" s="171">
        <f t="shared" ref="BN167" si="980">+(BN$49/BI$49)-1</f>
        <v>9.0081257334700071E-2</v>
      </c>
      <c r="BO167" s="171">
        <f t="shared" ref="BO167" si="981">+(BO$49/BJ$49)-1</f>
        <v>0.12359080171047521</v>
      </c>
      <c r="BP167" s="480">
        <f t="shared" ref="BP167" si="982">+(BP$49/BK$49)-1</f>
        <v>0.15565531841940539</v>
      </c>
      <c r="BQ167" s="171">
        <f t="shared" ref="BQ167" si="983">+(BQ$49/BL$49)-1</f>
        <v>0.12237328253088564</v>
      </c>
      <c r="BR167" s="171">
        <f t="shared" ref="BR167" si="984">+(BR$49/BM$49)-1</f>
        <v>7.5748532085895492E-2</v>
      </c>
      <c r="BS167" s="171">
        <f t="shared" ref="BS167" si="985">+(BS$49/BN$49)-1</f>
        <v>0.16335291151660503</v>
      </c>
      <c r="BT167" s="171">
        <f t="shared" ref="BT167" si="986">+(BT$49/BO$49)-1</f>
        <v>0.14065577260871875</v>
      </c>
      <c r="BU167" s="480">
        <f t="shared" ref="BU167" si="987">+(BU$49/BP$49)-1</f>
        <v>0.12589957841425803</v>
      </c>
      <c r="BV167" s="171">
        <f t="shared" ref="BV167" si="988">+(BV$49/BQ$49)-1</f>
        <v>3.5577540602054869E-2</v>
      </c>
      <c r="BW167" s="171">
        <f t="shared" ref="BW167" si="989">+(BW$49/BR$49)-1</f>
        <v>2.70780704018172E-2</v>
      </c>
      <c r="BX167" s="171">
        <f t="shared" ref="BX167" si="990">+(BX$49/BS$49)-1</f>
        <v>-4.2419629322462904E-2</v>
      </c>
      <c r="BY167" s="171">
        <f t="shared" ref="BY167" si="991">+(BY$49/BT$49)-1</f>
        <v>-4.7661598806551631E-2</v>
      </c>
      <c r="BZ167" s="480">
        <f t="shared" ref="BZ167" si="992">+(BZ$49/BU$49)-1</f>
        <v>-8.7068246841588426E-3</v>
      </c>
      <c r="CA167" s="171">
        <f t="shared" ref="CA167" si="993">+(CA$49/BV$49)-1</f>
        <v>4.0448177192514922E-2</v>
      </c>
      <c r="CB167" s="171">
        <f t="shared" ref="CB167" si="994">+(CB$49/BW$49)-1</f>
        <v>7.4257714752715032E-2</v>
      </c>
      <c r="CC167" s="171">
        <f t="shared" ref="CC167" si="995">+(CC$49/BX$49)-1</f>
        <v>8.6923194078129873E-2</v>
      </c>
      <c r="CD167" s="171">
        <f t="shared" ref="CD167" si="996">+(CD$49/BY$49)-1</f>
        <v>0.13989997407142152</v>
      </c>
      <c r="CE167" s="480">
        <f t="shared" ref="CE167" si="997">+(CE$49/BZ$49)-1</f>
        <v>8.5605439053163312E-2</v>
      </c>
    </row>
    <row r="168" spans="2:83" ht="6.75" customHeight="1">
      <c r="B168" s="407"/>
      <c r="C168" s="407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426"/>
      <c r="S168" s="171"/>
      <c r="T168" s="171"/>
      <c r="U168" s="171"/>
      <c r="V168" s="171"/>
      <c r="W168" s="480"/>
      <c r="X168" s="171"/>
      <c r="Y168" s="171"/>
      <c r="Z168" s="171"/>
      <c r="AA168" s="171"/>
      <c r="AB168" s="480"/>
      <c r="AC168" s="171"/>
      <c r="AD168" s="171"/>
      <c r="AE168" s="171"/>
      <c r="AF168" s="426"/>
      <c r="AG168" s="480"/>
      <c r="AH168" s="426"/>
      <c r="AI168" s="426"/>
      <c r="AJ168" s="426"/>
      <c r="AK168" s="426"/>
      <c r="AL168" s="480"/>
      <c r="AM168" s="426"/>
      <c r="AN168" s="426"/>
      <c r="AO168" s="426"/>
      <c r="AP168" s="426"/>
      <c r="AQ168" s="480"/>
      <c r="AR168" s="171"/>
      <c r="AS168" s="171"/>
      <c r="AT168" s="171"/>
      <c r="AU168" s="171"/>
      <c r="AV168" s="480"/>
      <c r="AW168" s="171"/>
      <c r="AX168" s="171"/>
      <c r="AY168" s="171"/>
      <c r="AZ168" s="171"/>
      <c r="BA168" s="480"/>
      <c r="BB168" s="171"/>
      <c r="BC168" s="171"/>
      <c r="BD168" s="171"/>
      <c r="BE168" s="171"/>
      <c r="BF168" s="480"/>
      <c r="BG168" s="171"/>
      <c r="BH168" s="171"/>
      <c r="BI168" s="171"/>
      <c r="BJ168" s="171"/>
      <c r="BK168" s="480"/>
      <c r="BL168" s="171"/>
      <c r="BM168" s="171"/>
      <c r="BN168" s="171"/>
      <c r="BO168" s="171"/>
      <c r="BP168" s="480"/>
      <c r="BQ168" s="171"/>
      <c r="BR168" s="171"/>
      <c r="BS168" s="171"/>
      <c r="BT168" s="171"/>
      <c r="BU168" s="480"/>
      <c r="BV168" s="171"/>
      <c r="BW168" s="171"/>
      <c r="BX168" s="171"/>
      <c r="BY168" s="171"/>
      <c r="BZ168" s="480"/>
      <c r="CA168" s="171"/>
      <c r="CB168" s="171"/>
      <c r="CC168" s="171"/>
      <c r="CD168" s="171"/>
      <c r="CE168" s="480"/>
    </row>
    <row r="169" spans="2:83" ht="12.6" customHeight="1">
      <c r="B169" s="407"/>
      <c r="C169" s="407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426"/>
      <c r="S169" s="171"/>
      <c r="T169" s="171"/>
      <c r="U169" s="171"/>
      <c r="V169" s="171"/>
      <c r="W169" s="480"/>
      <c r="X169" s="171"/>
      <c r="Y169" s="171"/>
      <c r="Z169" s="171"/>
      <c r="AA169" s="171"/>
      <c r="AB169" s="480"/>
      <c r="AC169" s="171"/>
      <c r="AD169" s="171"/>
      <c r="AE169" s="171"/>
      <c r="AF169" s="426"/>
      <c r="AG169" s="480"/>
      <c r="AH169" s="426"/>
      <c r="AI169" s="426"/>
      <c r="AJ169" s="426"/>
      <c r="AK169" s="426"/>
      <c r="AL169" s="480"/>
      <c r="AM169" s="426"/>
      <c r="AN169" s="426"/>
      <c r="AO169" s="426"/>
      <c r="AP169" s="426"/>
      <c r="AQ169" s="480"/>
      <c r="AR169" s="171"/>
      <c r="AS169" s="171"/>
      <c r="AT169" s="171"/>
      <c r="AU169" s="171"/>
      <c r="AV169" s="480"/>
      <c r="AW169" s="171"/>
      <c r="AX169" s="171"/>
      <c r="AY169" s="171"/>
      <c r="AZ169" s="171"/>
      <c r="BA169" s="480"/>
      <c r="BB169" s="171"/>
      <c r="BC169" s="171"/>
      <c r="BD169" s="171"/>
      <c r="BE169" s="171"/>
      <c r="BF169" s="480"/>
      <c r="BG169" s="171"/>
      <c r="BH169" s="171"/>
      <c r="BI169" s="171"/>
      <c r="BJ169" s="171"/>
      <c r="BK169" s="480"/>
      <c r="BL169" s="171"/>
      <c r="BM169" s="171"/>
      <c r="BN169" s="171"/>
      <c r="BO169" s="171"/>
      <c r="BP169" s="480"/>
      <c r="BQ169" s="171"/>
      <c r="BR169" s="171"/>
      <c r="BS169" s="171"/>
      <c r="BT169" s="171"/>
      <c r="BU169" s="480"/>
      <c r="BV169" s="171"/>
      <c r="BW169" s="171"/>
      <c r="BX169" s="171"/>
      <c r="BY169" s="171"/>
      <c r="BZ169" s="480"/>
      <c r="CA169" s="171"/>
      <c r="CB169" s="171"/>
      <c r="CC169" s="171"/>
      <c r="CD169" s="171"/>
      <c r="CE169" s="480"/>
    </row>
    <row r="170" spans="2:83" ht="12.6" customHeight="1">
      <c r="B170" s="421"/>
      <c r="C170" s="421"/>
      <c r="D170" s="234"/>
      <c r="E170" s="234"/>
      <c r="F170" s="234"/>
      <c r="G170" s="234"/>
      <c r="H170" s="234"/>
      <c r="I170" s="234"/>
      <c r="J170" s="234"/>
      <c r="K170" s="234"/>
      <c r="L170" s="234"/>
      <c r="M170" s="234"/>
      <c r="N170" s="234"/>
      <c r="O170" s="234"/>
      <c r="P170" s="234"/>
      <c r="Q170" s="234"/>
      <c r="R170" s="452"/>
      <c r="S170" s="234"/>
      <c r="T170" s="234"/>
      <c r="U170" s="234"/>
      <c r="V170" s="234"/>
      <c r="W170" s="526"/>
      <c r="X170" s="234"/>
      <c r="Y170" s="234"/>
      <c r="Z170" s="234"/>
      <c r="AA170" s="234"/>
      <c r="AB170" s="526"/>
      <c r="AC170" s="234"/>
      <c r="AD170" s="234"/>
      <c r="AE170" s="234"/>
      <c r="AF170" s="452"/>
      <c r="AG170" s="526"/>
      <c r="AH170" s="452"/>
      <c r="AI170" s="452"/>
      <c r="AJ170" s="452"/>
      <c r="AK170" s="452"/>
      <c r="AL170" s="526"/>
      <c r="AM170" s="452"/>
      <c r="AN170" s="452"/>
      <c r="AO170" s="452"/>
      <c r="AP170" s="452"/>
      <c r="AQ170" s="526"/>
      <c r="AR170" s="234"/>
      <c r="AS170" s="234"/>
      <c r="AT170" s="234"/>
      <c r="AU170" s="234"/>
      <c r="AV170" s="526"/>
      <c r="AW170" s="234"/>
      <c r="AX170" s="234"/>
      <c r="AY170" s="234"/>
      <c r="AZ170" s="234"/>
      <c r="BA170" s="526"/>
      <c r="BB170" s="234"/>
      <c r="BC170" s="234"/>
      <c r="BD170" s="234"/>
      <c r="BE170" s="234"/>
      <c r="BF170" s="526"/>
      <c r="BG170" s="234"/>
      <c r="BH170" s="234"/>
      <c r="BI170" s="234"/>
      <c r="BJ170" s="234"/>
      <c r="BK170" s="526"/>
      <c r="BL170" s="234"/>
      <c r="BM170" s="234"/>
      <c r="BN170" s="234"/>
      <c r="BO170" s="234"/>
      <c r="BP170" s="526"/>
      <c r="BQ170" s="234"/>
      <c r="BR170" s="234"/>
      <c r="BS170" s="234"/>
      <c r="BT170" s="234"/>
      <c r="BU170" s="526"/>
      <c r="BV170" s="234"/>
      <c r="BW170" s="234"/>
      <c r="BX170" s="234"/>
      <c r="BY170" s="234"/>
      <c r="BZ170" s="526"/>
      <c r="CA170" s="234"/>
      <c r="CB170" s="234"/>
      <c r="CC170" s="234"/>
      <c r="CD170" s="234"/>
      <c r="CE170" s="526"/>
    </row>
    <row r="171" spans="2:83" ht="12.6" customHeight="1">
      <c r="B171" s="407" t="s">
        <v>17</v>
      </c>
      <c r="C171" s="407"/>
      <c r="D171" s="171"/>
      <c r="E171" s="171"/>
      <c r="F171" s="171"/>
      <c r="G171" s="171"/>
      <c r="H171" s="171"/>
      <c r="I171" s="171">
        <f>+(I$53/D$53)-1</f>
        <v>-0.10256410256410253</v>
      </c>
      <c r="J171" s="171">
        <f t="shared" ref="J171:AL171" si="998">+(J$53/E$53)-1</f>
        <v>-2.1794871794871797</v>
      </c>
      <c r="K171" s="171">
        <f t="shared" si="998"/>
        <v>1.7272727272727271</v>
      </c>
      <c r="L171" s="171">
        <f t="shared" si="998"/>
        <v>-0.54448398576512458</v>
      </c>
      <c r="M171" s="171">
        <f t="shared" si="998"/>
        <v>0.3966480446927374</v>
      </c>
      <c r="N171" s="171">
        <f t="shared" si="998"/>
        <v>1.6</v>
      </c>
      <c r="O171" s="171">
        <f t="shared" si="998"/>
        <v>0.89130434782608692</v>
      </c>
      <c r="P171" s="171">
        <f t="shared" si="998"/>
        <v>0.34761904761904772</v>
      </c>
      <c r="Q171" s="171">
        <f t="shared" si="998"/>
        <v>10.4921875</v>
      </c>
      <c r="R171" s="426">
        <f t="shared" si="998"/>
        <v>3.2199999999999998</v>
      </c>
      <c r="S171" s="171">
        <f t="shared" si="998"/>
        <v>16.434065934065934</v>
      </c>
      <c r="T171" s="171">
        <f t="shared" si="998"/>
        <v>19.551724137931036</v>
      </c>
      <c r="U171" s="171">
        <f t="shared" si="998"/>
        <v>13.332155477031803</v>
      </c>
      <c r="V171" s="171">
        <f t="shared" si="998"/>
        <v>2.0509857239972806</v>
      </c>
      <c r="W171" s="480">
        <f t="shared" si="998"/>
        <v>6.2478672985781989</v>
      </c>
      <c r="X171" s="171">
        <f t="shared" si="998"/>
        <v>0.41380397100535804</v>
      </c>
      <c r="Y171" s="171">
        <f t="shared" si="998"/>
        <v>0.18680089485458606</v>
      </c>
      <c r="Z171" s="171">
        <f t="shared" si="998"/>
        <v>0.18244575936883622</v>
      </c>
      <c r="AA171" s="171">
        <f t="shared" si="998"/>
        <v>0.10071301247771824</v>
      </c>
      <c r="AB171" s="480">
        <f t="shared" si="998"/>
        <v>0.20748054665533244</v>
      </c>
      <c r="AC171" s="171">
        <f t="shared" si="998"/>
        <v>-1.5604101649576707E-3</v>
      </c>
      <c r="AD171" s="171">
        <f t="shared" si="998"/>
        <v>0.34165881244109331</v>
      </c>
      <c r="AE171" s="171">
        <f t="shared" si="998"/>
        <v>0.45246038365304431</v>
      </c>
      <c r="AF171" s="426">
        <f t="shared" si="998"/>
        <v>0.27004048582995965</v>
      </c>
      <c r="AG171" s="480">
        <f t="shared" si="998"/>
        <v>0.26789775804180649</v>
      </c>
      <c r="AH171" s="426">
        <f t="shared" si="998"/>
        <v>-2.4559053360126981E-3</v>
      </c>
      <c r="AI171" s="426">
        <f t="shared" si="998"/>
        <v>-0.14155251141552516</v>
      </c>
      <c r="AJ171" s="426">
        <f t="shared" si="998"/>
        <v>-0.11269020958943443</v>
      </c>
      <c r="AK171" s="426">
        <f t="shared" si="998"/>
        <v>-0.4660503665922856</v>
      </c>
      <c r="AL171" s="480">
        <f t="shared" si="998"/>
        <v>-0.19331140819203008</v>
      </c>
      <c r="AM171" s="426">
        <f t="shared" ref="AM171" si="999">+(AM$53/AH$53)-1</f>
        <v>0.27909579230080572</v>
      </c>
      <c r="AN171" s="426">
        <f t="shared" ref="AN171" si="1000">+(AN$53/AI$53)-1</f>
        <v>0.32610474631751218</v>
      </c>
      <c r="AO171" s="426">
        <f t="shared" ref="AO171" si="1001">+(AO$53/AJ$53)-1</f>
        <v>0.22002912150137521</v>
      </c>
      <c r="AP171" s="426">
        <f t="shared" ref="AP171" si="1002">+(AP$53/AK$53)-1</f>
        <v>1.0907462686567162</v>
      </c>
      <c r="AQ171" s="480">
        <f t="shared" ref="AQ171" si="1003">+(AQ$53/AL$53)-1</f>
        <v>0.41589453062953363</v>
      </c>
      <c r="AR171" s="171">
        <f t="shared" ref="AR171" si="1004">+(AR$53/AM$53)-1</f>
        <v>0.24111986001749774</v>
      </c>
      <c r="AS171" s="171">
        <f t="shared" ref="AS171" si="1005">+(AS$53/AN$53)-1</f>
        <v>0.19901265041653815</v>
      </c>
      <c r="AT171" s="171">
        <f t="shared" ref="AT171" si="1006">+(AT$53/AO$53)-1</f>
        <v>0.10515846704681087</v>
      </c>
      <c r="AU171" s="171">
        <f t="shared" ref="AU171" si="1007">+(AU$53/AP$53)-1</f>
        <v>0.1714734437464307</v>
      </c>
      <c r="AV171" s="480">
        <f t="shared" ref="AV171" si="1008">+(AV$53/AQ$53)-1</f>
        <v>0.17433251065739297</v>
      </c>
      <c r="AW171" s="171">
        <f t="shared" ref="AW171" si="1009">+(AW$53/AR$53)-1</f>
        <v>0.11067249400817714</v>
      </c>
      <c r="AX171" s="171">
        <f t="shared" ref="AX171" si="1010">+(AX$53/AS$53)-1</f>
        <v>8.6206896551724199E-2</v>
      </c>
      <c r="AY171" s="171">
        <f t="shared" ref="AY171" si="1011">+(AY$53/AT$53)-1</f>
        <v>8.2913366930645438E-2</v>
      </c>
      <c r="AZ171" s="171">
        <f t="shared" ref="AZ171" si="1012">+(AZ$53/AU$53)-1</f>
        <v>9.9207800121876799E-2</v>
      </c>
      <c r="BA171" s="480">
        <f t="shared" ref="BA171" si="1013">+(BA$53/AV$53)-1</f>
        <v>9.4255508852375547E-2</v>
      </c>
      <c r="BB171" s="171">
        <f t="shared" ref="BB171" si="1014">+(BB$53/AW$53)-1</f>
        <v>0.42548870271642558</v>
      </c>
      <c r="BC171" s="171">
        <f t="shared" ref="BC171" si="1015">+(BC$53/AX$53)-1</f>
        <v>0.32018479033404401</v>
      </c>
      <c r="BD171" s="171">
        <f t="shared" ref="BD171" si="1016">+(BD$53/AY$53)-1</f>
        <v>0.28941828254847635</v>
      </c>
      <c r="BE171" s="171">
        <f t="shared" ref="BE171" si="1017">+(BE$53/AZ$53)-1</f>
        <v>0.35913072402705404</v>
      </c>
      <c r="BF171" s="480">
        <f t="shared" ref="BF171" si="1018">+(BF$53/BA$53)-1</f>
        <v>0.34646723315097194</v>
      </c>
      <c r="BG171" s="171">
        <f t="shared" ref="BG171" si="1019">+(BG$53/BB$53)-1</f>
        <v>0.15672306322350837</v>
      </c>
      <c r="BH171" s="171">
        <f t="shared" ref="BH171" si="1020">+(BH$53/BC$53)-1</f>
        <v>0.34580529385374614</v>
      </c>
      <c r="BI171" s="171">
        <f t="shared" ref="BI171" si="1021">+(BI$53/BD$53)-1</f>
        <v>-8.5932800549969879E-2</v>
      </c>
      <c r="BJ171" s="171">
        <f t="shared" ref="BJ171" si="1022">+(BJ$53/BE$53)-1</f>
        <v>0.14578234622287489</v>
      </c>
      <c r="BK171" s="480">
        <f t="shared" ref="BK171" si="1023">+(BK$53/BF$53)-1</f>
        <v>0.13834017722066139</v>
      </c>
      <c r="BL171" s="171">
        <f t="shared" ref="BL171" si="1024">+(BL$53/BG$53)-1</f>
        <v>0.12009237875288692</v>
      </c>
      <c r="BM171" s="171">
        <f t="shared" ref="BM171" si="1025">+(BM$53/BH$53)-1</f>
        <v>8.6672444829656303E-3</v>
      </c>
      <c r="BN171" s="171">
        <f t="shared" ref="BN171" si="1026">+(BN$53/BI$53)-1</f>
        <v>0.44871674344269996</v>
      </c>
      <c r="BO171" s="171">
        <f t="shared" ref="BO171" si="1027">+(BO$53/BJ$53)-1</f>
        <v>0.12360270558917774</v>
      </c>
      <c r="BP171" s="480">
        <f t="shared" ref="BP171" si="1028">+(BP$53/BK$53)-1</f>
        <v>0.1556644073588882</v>
      </c>
      <c r="BQ171" s="171">
        <f t="shared" ref="BQ171" si="1029">+(BQ$53/BL$53)-1</f>
        <v>0.12164948453608249</v>
      </c>
      <c r="BR171" s="171">
        <f t="shared" ref="BR171" si="1030">+(BR$53/BM$53)-1</f>
        <v>7.6475642805208466E-2</v>
      </c>
      <c r="BS171" s="171">
        <f t="shared" ref="BS171" si="1031">+(BS$53/BN$53)-1</f>
        <v>0.16333549643088907</v>
      </c>
      <c r="BT171" s="171">
        <f t="shared" ref="BT171" si="1032">+(BT$53/BO$53)-1</f>
        <v>0.14080223053038465</v>
      </c>
      <c r="BU171" s="480">
        <f t="shared" ref="BU171" si="1033">+(BU$53/BP$53)-1</f>
        <v>0.12594052899622143</v>
      </c>
      <c r="BV171" s="171">
        <f t="shared" ref="BV171" si="1034">+(BV$53/BQ$53)-1</f>
        <v>-1.3066683823529379E-2</v>
      </c>
      <c r="BW171" s="171">
        <f t="shared" ref="BW171" si="1035">+(BW$53/BR$53)-1</f>
        <v>-2.2516317082156068E-2</v>
      </c>
      <c r="BX171" s="171">
        <f t="shared" ref="BX171" si="1036">+(BX$53/BS$53)-1</f>
        <v>-8.8004450449043481E-2</v>
      </c>
      <c r="BY171" s="171">
        <f t="shared" ref="BY171" si="1037">+(BY$53/BT$53)-1</f>
        <v>-9.3122889812808807E-2</v>
      </c>
      <c r="BZ171" s="480">
        <f t="shared" ref="BZ171" si="1038">+(BZ$53/BU$53)-1</f>
        <v>-5.59428065323333E-2</v>
      </c>
      <c r="CA171" s="171">
        <f t="shared" ref="CA171" si="1039">+(CA$53/BV$53)-1</f>
        <v>4.0448177192514922E-2</v>
      </c>
      <c r="CB171" s="171">
        <f t="shared" ref="CB171" si="1040">+(CB$53/BW$53)-1</f>
        <v>7.4257714752715032E-2</v>
      </c>
      <c r="CC171" s="171">
        <f t="shared" ref="CC171" si="1041">+(CC$53/BX$53)-1</f>
        <v>8.6923194078129873E-2</v>
      </c>
      <c r="CD171" s="171">
        <f t="shared" ref="CD171" si="1042">+(CD$53/BY$53)-1</f>
        <v>0.1398999740714213</v>
      </c>
      <c r="CE171" s="480">
        <f t="shared" ref="CE171" si="1043">+(CE$53/BZ$53)-1</f>
        <v>8.5605439053163757E-2</v>
      </c>
    </row>
    <row r="172" spans="2:83" ht="12.6" customHeight="1">
      <c r="B172" s="420"/>
      <c r="C172" s="429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426"/>
      <c r="S172" s="171"/>
      <c r="T172" s="171"/>
      <c r="U172" s="171"/>
      <c r="V172" s="171"/>
      <c r="W172" s="480"/>
      <c r="X172" s="171"/>
      <c r="Y172" s="171"/>
      <c r="Z172" s="171"/>
      <c r="AA172" s="171"/>
      <c r="AB172" s="480"/>
      <c r="AC172" s="171"/>
      <c r="AD172" s="171"/>
      <c r="AE172" s="171"/>
      <c r="AF172" s="426"/>
      <c r="AG172" s="480"/>
      <c r="AH172" s="426"/>
      <c r="AI172" s="426"/>
      <c r="AJ172" s="426"/>
      <c r="AK172" s="426"/>
      <c r="AL172" s="480"/>
      <c r="AM172" s="426"/>
      <c r="AN172" s="426"/>
      <c r="AO172" s="426"/>
      <c r="AP172" s="426"/>
      <c r="AQ172" s="480"/>
      <c r="AR172" s="171"/>
      <c r="AS172" s="171"/>
      <c r="AT172" s="171"/>
      <c r="AU172" s="171"/>
      <c r="AV172" s="480"/>
      <c r="AW172" s="171"/>
      <c r="AX172" s="171"/>
      <c r="AY172" s="171"/>
      <c r="AZ172" s="171"/>
      <c r="BA172" s="480"/>
      <c r="BB172" s="171"/>
      <c r="BC172" s="171"/>
      <c r="BD172" s="171"/>
      <c r="BE172" s="171"/>
      <c r="BF172" s="480"/>
      <c r="BG172" s="171"/>
      <c r="BH172" s="171"/>
      <c r="BI172" s="171"/>
      <c r="BJ172" s="171"/>
      <c r="BK172" s="480"/>
      <c r="BL172" s="171"/>
      <c r="BM172" s="171"/>
      <c r="BN172" s="171"/>
      <c r="BO172" s="171"/>
      <c r="BP172" s="480"/>
      <c r="BQ172" s="171"/>
      <c r="BR172" s="171"/>
      <c r="BS172" s="171"/>
      <c r="BT172" s="171"/>
      <c r="BU172" s="480"/>
      <c r="BV172" s="171"/>
      <c r="BW172" s="171"/>
      <c r="BX172" s="171"/>
      <c r="BY172" s="171"/>
      <c r="BZ172" s="480"/>
      <c r="CA172" s="171"/>
      <c r="CB172" s="171"/>
      <c r="CC172" s="171"/>
      <c r="CD172" s="171"/>
      <c r="CE172" s="480"/>
    </row>
    <row r="173" spans="2:83" ht="12.75">
      <c r="B173" s="407"/>
      <c r="C173" s="407"/>
      <c r="D173" s="189"/>
      <c r="E173" s="189"/>
      <c r="F173" s="189"/>
      <c r="G173" s="189"/>
      <c r="H173" s="189"/>
      <c r="I173" s="189" t="s">
        <v>0</v>
      </c>
      <c r="J173" s="189" t="s">
        <v>0</v>
      </c>
      <c r="K173" s="189" t="s">
        <v>0</v>
      </c>
      <c r="L173" s="189" t="s">
        <v>0</v>
      </c>
      <c r="M173" s="189" t="s">
        <v>0</v>
      </c>
      <c r="N173" s="189" t="s">
        <v>0</v>
      </c>
      <c r="O173" s="189" t="s">
        <v>0</v>
      </c>
      <c r="P173" s="189" t="s">
        <v>0</v>
      </c>
      <c r="Q173" s="189" t="s">
        <v>0</v>
      </c>
      <c r="R173" s="423" t="s">
        <v>0</v>
      </c>
      <c r="S173" s="189" t="s">
        <v>0</v>
      </c>
      <c r="T173" s="189" t="s">
        <v>0</v>
      </c>
      <c r="U173" s="189" t="s">
        <v>0</v>
      </c>
      <c r="V173" s="189" t="s">
        <v>0</v>
      </c>
      <c r="W173" s="486" t="s">
        <v>0</v>
      </c>
      <c r="X173" s="189" t="s">
        <v>0</v>
      </c>
      <c r="Y173" s="189" t="s">
        <v>0</v>
      </c>
      <c r="Z173" s="189" t="s">
        <v>0</v>
      </c>
      <c r="AA173" s="189" t="s">
        <v>0</v>
      </c>
      <c r="AB173" s="486" t="s">
        <v>0</v>
      </c>
      <c r="AC173" s="189" t="s">
        <v>0</v>
      </c>
      <c r="AD173" s="189" t="s">
        <v>0</v>
      </c>
      <c r="AE173" s="189" t="s">
        <v>0</v>
      </c>
      <c r="AF173" s="423" t="s">
        <v>0</v>
      </c>
      <c r="AG173" s="486" t="s">
        <v>0</v>
      </c>
      <c r="AH173" s="423" t="s">
        <v>0</v>
      </c>
      <c r="AI173" s="423" t="s">
        <v>0</v>
      </c>
      <c r="AJ173" s="423" t="s">
        <v>0</v>
      </c>
      <c r="AK173" s="423" t="s">
        <v>0</v>
      </c>
      <c r="AL173" s="486" t="s">
        <v>0</v>
      </c>
      <c r="AM173" s="423" t="s">
        <v>0</v>
      </c>
      <c r="AN173" s="423" t="s">
        <v>0</v>
      </c>
      <c r="AO173" s="423" t="s">
        <v>0</v>
      </c>
      <c r="AP173" s="423" t="s">
        <v>0</v>
      </c>
      <c r="AQ173" s="486" t="s">
        <v>0</v>
      </c>
      <c r="AR173" s="189" t="s">
        <v>0</v>
      </c>
      <c r="AS173" s="189" t="s">
        <v>0</v>
      </c>
      <c r="AT173" s="189" t="s">
        <v>0</v>
      </c>
      <c r="AU173" s="189" t="s">
        <v>0</v>
      </c>
      <c r="AV173" s="486" t="s">
        <v>0</v>
      </c>
      <c r="AW173" s="189" t="s">
        <v>0</v>
      </c>
      <c r="AX173" s="189" t="s">
        <v>0</v>
      </c>
      <c r="AY173" s="189" t="s">
        <v>0</v>
      </c>
      <c r="AZ173" s="189" t="s">
        <v>0</v>
      </c>
      <c r="BA173" s="486" t="s">
        <v>0</v>
      </c>
      <c r="BB173" s="189" t="s">
        <v>0</v>
      </c>
      <c r="BC173" s="189" t="s">
        <v>0</v>
      </c>
      <c r="BD173" s="189" t="s">
        <v>0</v>
      </c>
      <c r="BE173" s="189" t="s">
        <v>0</v>
      </c>
      <c r="BF173" s="486" t="s">
        <v>0</v>
      </c>
      <c r="BG173" s="189" t="s">
        <v>0</v>
      </c>
      <c r="BH173" s="189" t="s">
        <v>0</v>
      </c>
      <c r="BI173" s="189" t="s">
        <v>0</v>
      </c>
      <c r="BJ173" s="189" t="s">
        <v>0</v>
      </c>
      <c r="BK173" s="486" t="s">
        <v>0</v>
      </c>
      <c r="BL173" s="189" t="s">
        <v>0</v>
      </c>
      <c r="BM173" s="189" t="s">
        <v>0</v>
      </c>
      <c r="BN173" s="189" t="s">
        <v>0</v>
      </c>
      <c r="BO173" s="189" t="s">
        <v>0</v>
      </c>
      <c r="BP173" s="486" t="s">
        <v>0</v>
      </c>
      <c r="BQ173" s="189" t="s">
        <v>0</v>
      </c>
      <c r="BR173" s="189" t="s">
        <v>0</v>
      </c>
      <c r="BS173" s="189" t="s">
        <v>0</v>
      </c>
      <c r="BT173" s="189" t="s">
        <v>0</v>
      </c>
      <c r="BU173" s="486" t="s">
        <v>0</v>
      </c>
      <c r="BV173" s="189" t="s">
        <v>0</v>
      </c>
      <c r="BW173" s="189" t="s">
        <v>0</v>
      </c>
      <c r="BX173" s="189" t="s">
        <v>0</v>
      </c>
      <c r="BY173" s="189" t="s">
        <v>0</v>
      </c>
      <c r="BZ173" s="486" t="s">
        <v>0</v>
      </c>
      <c r="CA173" s="189" t="s">
        <v>0</v>
      </c>
      <c r="CB173" s="189" t="s">
        <v>0</v>
      </c>
      <c r="CC173" s="189" t="s">
        <v>0</v>
      </c>
      <c r="CD173" s="189" t="s">
        <v>0</v>
      </c>
      <c r="CE173" s="486" t="s">
        <v>0</v>
      </c>
    </row>
    <row r="174" spans="2:83" ht="13.15">
      <c r="B174" s="415" t="s">
        <v>140</v>
      </c>
      <c r="C174" s="415"/>
      <c r="D174" s="171"/>
      <c r="E174" s="171"/>
      <c r="F174" s="171"/>
      <c r="G174" s="171"/>
      <c r="H174" s="171"/>
      <c r="I174" s="171">
        <f>+(I$56/D$56)-1</f>
        <v>-0.11508951406649615</v>
      </c>
      <c r="J174" s="171">
        <f t="shared" ref="J174:AL174" si="1044">+(J$56/E$56)-1</f>
        <v>2.5008291873963517</v>
      </c>
      <c r="K174" s="171">
        <f t="shared" si="1044"/>
        <v>8.7602078693392649E-2</v>
      </c>
      <c r="L174" s="171">
        <f t="shared" si="1044"/>
        <v>-0.14767726161369166</v>
      </c>
      <c r="M174" s="171">
        <f t="shared" si="1044"/>
        <v>0.24367695796267208</v>
      </c>
      <c r="N174" s="171">
        <f t="shared" si="1044"/>
        <v>3.8728323699421967</v>
      </c>
      <c r="O174" s="171">
        <f t="shared" si="1044"/>
        <v>0.9829464708668878</v>
      </c>
      <c r="P174" s="171">
        <f t="shared" si="1044"/>
        <v>0.94607508532423212</v>
      </c>
      <c r="Q174" s="171">
        <f t="shared" si="1044"/>
        <v>2.2248995983935678</v>
      </c>
      <c r="R174" s="426">
        <f t="shared" si="1044"/>
        <v>1.411640953716689</v>
      </c>
      <c r="S174" s="171">
        <f t="shared" si="1044"/>
        <v>2.2888493475682088</v>
      </c>
      <c r="T174" s="171">
        <f t="shared" si="1044"/>
        <v>0.4921165790731008</v>
      </c>
      <c r="U174" s="171">
        <f t="shared" si="1044"/>
        <v>0.24324798316380214</v>
      </c>
      <c r="V174" s="171">
        <f t="shared" si="1044"/>
        <v>0.39494751823518937</v>
      </c>
      <c r="W174" s="480">
        <f t="shared" si="1044"/>
        <v>0.55399825530677527</v>
      </c>
      <c r="X174" s="171">
        <f t="shared" si="1044"/>
        <v>0.43841298467087442</v>
      </c>
      <c r="Y174" s="171">
        <f t="shared" si="1044"/>
        <v>0.20813320525136092</v>
      </c>
      <c r="Z174" s="171">
        <f t="shared" si="1044"/>
        <v>0.20242629425871073</v>
      </c>
      <c r="AA174" s="171">
        <f t="shared" si="1044"/>
        <v>0.12001020278025765</v>
      </c>
      <c r="AB174" s="480">
        <f t="shared" si="1044"/>
        <v>0.22854683582201263</v>
      </c>
      <c r="AC174" s="171">
        <f t="shared" si="1044"/>
        <v>-1.7552657973921582E-3</v>
      </c>
      <c r="AD174" s="171">
        <f t="shared" si="1044"/>
        <v>0.34137291280148419</v>
      </c>
      <c r="AE174" s="171">
        <f t="shared" si="1044"/>
        <v>0.45272172688878465</v>
      </c>
      <c r="AF174" s="426">
        <f t="shared" si="1044"/>
        <v>0.4817809155089956</v>
      </c>
      <c r="AG174" s="480">
        <f t="shared" si="1044"/>
        <v>0.32447910320458151</v>
      </c>
      <c r="AH174" s="426">
        <f t="shared" si="1044"/>
        <v>0.8789248932429039</v>
      </c>
      <c r="AI174" s="426">
        <f t="shared" si="1044"/>
        <v>0.61657775143252325</v>
      </c>
      <c r="AJ174" s="426">
        <f t="shared" si="1044"/>
        <v>0.67059678591617544</v>
      </c>
      <c r="AK174" s="426">
        <f t="shared" si="1044"/>
        <v>0.63959117805271659</v>
      </c>
      <c r="AL174" s="480">
        <f t="shared" si="1044"/>
        <v>0.68689052437902487</v>
      </c>
      <c r="AM174" s="426">
        <f t="shared" ref="AM174" si="1045">+(AM$56/AH$56)-1</f>
        <v>0.35568181818181821</v>
      </c>
      <c r="AN174" s="426">
        <f t="shared" ref="AN174" si="1046">+(AN$56/AI$56)-1</f>
        <v>0.40200452239809326</v>
      </c>
      <c r="AO174" s="426">
        <f t="shared" ref="AO174" si="1047">+(AO$56/AJ$56)-1</f>
        <v>0.29052061681249097</v>
      </c>
      <c r="AP174" s="426">
        <f t="shared" ref="AP174" si="1048">+(AP$56/AK$56)-1</f>
        <v>0.19736595425571801</v>
      </c>
      <c r="AQ174" s="480">
        <f t="shared" ref="AQ174" si="1049">+(AQ$56/AL$56)-1</f>
        <v>0.30158427180759695</v>
      </c>
      <c r="AR174" s="171">
        <f t="shared" ref="AR174" si="1050">+(AR$56/AM$56)-1</f>
        <v>0.31359400424042216</v>
      </c>
      <c r="AS174" s="171">
        <f t="shared" ref="AS174" si="1051">+(AS$56/AN$56)-1</f>
        <v>0.32016912950612442</v>
      </c>
      <c r="AT174" s="171">
        <f t="shared" ref="AT174" si="1052">+(AT$56/AO$56)-1</f>
        <v>0.17589991384799797</v>
      </c>
      <c r="AU174" s="171">
        <f t="shared" ref="AU174" si="1053">+(AU$56/AP$56)-1</f>
        <v>0.12091439307942231</v>
      </c>
      <c r="AV174" s="480">
        <f t="shared" ref="AV174" si="1054">+(AV$56/AQ$56)-1</f>
        <v>0.22510632057486446</v>
      </c>
      <c r="AW174" s="171">
        <f t="shared" ref="AW174" si="1055">+(AW$56/AR$56)-1</f>
        <v>0.11715025712248028</v>
      </c>
      <c r="AX174" s="171">
        <f t="shared" ref="AX174" si="1056">+(AX$56/AS$56)-1</f>
        <v>4.3584494485901182E-2</v>
      </c>
      <c r="AY174" s="171">
        <f t="shared" ref="AY174" si="1057">+(AY$56/AT$56)-1</f>
        <v>8.7949542891727406E-2</v>
      </c>
      <c r="AZ174" s="171">
        <f t="shared" ref="AZ174" si="1058">+(AZ$56/AU$56)-1</f>
        <v>0.17862131582623264</v>
      </c>
      <c r="BA174" s="480">
        <f t="shared" ref="BA174" si="1059">+(BA$56/AV$56)-1</f>
        <v>0.10531310920346115</v>
      </c>
      <c r="BB174" s="171">
        <f t="shared" ref="BB174" si="1060">+(BB$56/AW$56)-1</f>
        <v>0.19494657617095634</v>
      </c>
      <c r="BC174" s="171">
        <f t="shared" ref="BC174" si="1061">+(BC$56/AX$56)-1</f>
        <v>0.11595899512750751</v>
      </c>
      <c r="BD174" s="171">
        <f t="shared" ref="BD174" si="1062">+(BD$56/AY$56)-1</f>
        <v>7.8585231598055971E-2</v>
      </c>
      <c r="BE174" s="171">
        <f t="shared" ref="BE174" si="1063">+(BE$56/AZ$56)-1</f>
        <v>0.15110663387751466</v>
      </c>
      <c r="BF174" s="480">
        <f t="shared" ref="BF174" si="1064">+(BF$56/BA$56)-1</f>
        <v>0.13344627261686504</v>
      </c>
      <c r="BG174" s="171">
        <f t="shared" ref="BG174" si="1065">+(BG$56/BB$56)-1</f>
        <v>0.15774378585086035</v>
      </c>
      <c r="BH174" s="171">
        <f t="shared" ref="BH174" si="1066">+(BH$56/BC$56)-1</f>
        <v>0.34543959626888943</v>
      </c>
      <c r="BI174" s="171">
        <f t="shared" ref="BI174" si="1067">+(BI$56/BD$56)-1</f>
        <v>0.53862859004289043</v>
      </c>
      <c r="BJ174" s="171">
        <f t="shared" ref="BJ174" si="1068">+(BJ$56/BE$56)-1</f>
        <v>0.35999073382924496</v>
      </c>
      <c r="BK174" s="480">
        <f t="shared" ref="BK174" si="1069">+(BK$56/BF$56)-1</f>
        <v>0.35231088422374501</v>
      </c>
      <c r="BL174" s="171">
        <f t="shared" ref="BL174" si="1070">+(BL$56/BG$56)-1</f>
        <v>0.32943119444309521</v>
      </c>
      <c r="BM174" s="171">
        <f t="shared" ref="BM174" si="1071">+(BM$56/BH$56)-1</f>
        <v>0.19928353176693703</v>
      </c>
      <c r="BN174" s="171">
        <f t="shared" ref="BN174" si="1072">+(BN$56/BI$56)-1</f>
        <v>2.2776993648553345E-2</v>
      </c>
      <c r="BO174" s="171">
        <f t="shared" ref="BO174" si="1073">+(BO$56/BJ$56)-1</f>
        <v>0.12358763745102874</v>
      </c>
      <c r="BP174" s="480">
        <f t="shared" ref="BP174" si="1074">+(BP$56/BK$56)-1</f>
        <v>0.15565290240529706</v>
      </c>
      <c r="BQ174" s="171">
        <f t="shared" ref="BQ174" si="1075">+(BQ$56/BL$56)-1</f>
        <v>0.12256567649530492</v>
      </c>
      <c r="BR174" s="171">
        <f t="shared" ref="BR174" si="1076">+(BR$56/BM$56)-1</f>
        <v>7.5555243182457099E-2</v>
      </c>
      <c r="BS174" s="171">
        <f t="shared" ref="BS174" si="1077">+(BS$56/BN$56)-1</f>
        <v>0.16335754083938525</v>
      </c>
      <c r="BT174" s="171">
        <f t="shared" ref="BT174" si="1078">+(BT$56/BO$56)-1</f>
        <v>0.14061684100594607</v>
      </c>
      <c r="BU174" s="480">
        <f t="shared" ref="BU174" si="1079">+(BU$56/BP$56)-1</f>
        <v>0.12588869285726756</v>
      </c>
      <c r="BV174" s="171">
        <f t="shared" ref="BV174" si="1080">+(BV$56/BQ$56)-1</f>
        <v>4.8497190749751784E-2</v>
      </c>
      <c r="BW174" s="171">
        <f t="shared" ref="BW174" si="1081">+(BW$56/BR$56)-1</f>
        <v>4.0273100699209641E-2</v>
      </c>
      <c r="BX174" s="171">
        <f t="shared" ref="BX174" si="1082">+(BX$56/BS$56)-1</f>
        <v>-3.0302384792633696E-2</v>
      </c>
      <c r="BY174" s="171">
        <f t="shared" ref="BY174" si="1083">+(BY$56/BT$56)-1</f>
        <v>-3.5575065217455348E-2</v>
      </c>
      <c r="BZ174" s="480">
        <f t="shared" ref="BZ174" si="1084">+(BZ$56/BU$56)-1</f>
        <v>3.8501066501175352E-3</v>
      </c>
      <c r="CA174" s="171">
        <f t="shared" ref="CA174" si="1085">+(CA$56/BV$56)-1</f>
        <v>4.0448177192514922E-2</v>
      </c>
      <c r="CB174" s="171">
        <f t="shared" ref="CB174" si="1086">+(CB$56/BW$56)-1</f>
        <v>7.425771475271481E-2</v>
      </c>
      <c r="CC174" s="171">
        <f t="shared" ref="CC174" si="1087">+(CC$56/BX$56)-1</f>
        <v>8.6923194078129873E-2</v>
      </c>
      <c r="CD174" s="171">
        <f t="shared" ref="CD174" si="1088">+(CD$56/BY$56)-1</f>
        <v>0.13989997407142152</v>
      </c>
      <c r="CE174" s="480">
        <f t="shared" ref="CE174" si="1089">+(CE$56/BZ$56)-1</f>
        <v>8.5605439053163312E-2</v>
      </c>
    </row>
    <row r="175" spans="2:83" ht="13.15">
      <c r="B175" s="415"/>
      <c r="C175" s="415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426"/>
      <c r="S175" s="171"/>
      <c r="T175" s="171"/>
      <c r="U175" s="171"/>
      <c r="V175" s="171"/>
      <c r="W175" s="480"/>
      <c r="X175" s="171"/>
      <c r="Y175" s="171"/>
      <c r="Z175" s="171"/>
      <c r="AA175" s="171"/>
      <c r="AB175" s="480"/>
      <c r="AC175" s="171"/>
      <c r="AD175" s="171"/>
      <c r="AE175" s="171"/>
      <c r="AF175" s="426"/>
      <c r="AG175" s="480"/>
      <c r="AH175" s="426"/>
      <c r="AI175" s="426"/>
      <c r="AJ175" s="426"/>
      <c r="AK175" s="426"/>
      <c r="AL175" s="480"/>
      <c r="AM175" s="426"/>
      <c r="AN175" s="426"/>
      <c r="AO175" s="426"/>
      <c r="AP175" s="426"/>
      <c r="AQ175" s="480"/>
      <c r="AR175" s="171"/>
      <c r="AS175" s="171"/>
      <c r="AT175" s="171"/>
      <c r="AU175" s="171"/>
      <c r="AV175" s="480"/>
      <c r="AW175" s="171"/>
      <c r="AX175" s="171"/>
      <c r="AY175" s="171"/>
      <c r="AZ175" s="171"/>
      <c r="BA175" s="480"/>
      <c r="BB175" s="171"/>
      <c r="BC175" s="171"/>
      <c r="BD175" s="171"/>
      <c r="BE175" s="171"/>
      <c r="BF175" s="480"/>
      <c r="BG175" s="171"/>
      <c r="BH175" s="171"/>
      <c r="BI175" s="171"/>
      <c r="BJ175" s="171"/>
      <c r="BK175" s="480"/>
      <c r="BL175" s="171"/>
      <c r="BM175" s="171"/>
      <c r="BN175" s="171"/>
      <c r="BO175" s="171"/>
      <c r="BP175" s="480"/>
      <c r="BQ175" s="171"/>
      <c r="BR175" s="171"/>
      <c r="BS175" s="171"/>
      <c r="BT175" s="171"/>
      <c r="BU175" s="480"/>
      <c r="BV175" s="171"/>
      <c r="BW175" s="171"/>
      <c r="BX175" s="171"/>
      <c r="BY175" s="171"/>
      <c r="BZ175" s="480"/>
      <c r="CA175" s="171"/>
      <c r="CB175" s="171"/>
      <c r="CC175" s="171"/>
      <c r="CD175" s="171"/>
      <c r="CE175" s="480"/>
    </row>
    <row r="176" spans="2:83" ht="12.75">
      <c r="B176" s="407"/>
      <c r="C176" s="407"/>
      <c r="D176" s="216"/>
      <c r="E176" s="216"/>
      <c r="F176" s="216"/>
      <c r="G176" s="216"/>
      <c r="H176" s="216"/>
      <c r="I176" s="216"/>
      <c r="J176" s="216"/>
      <c r="K176" s="216"/>
      <c r="L176" s="216"/>
      <c r="M176" s="216"/>
      <c r="N176" s="216"/>
      <c r="O176" s="216"/>
      <c r="P176" s="216"/>
      <c r="Q176" s="216"/>
      <c r="R176" s="427"/>
      <c r="S176" s="216"/>
      <c r="T176" s="216"/>
      <c r="U176" s="216"/>
      <c r="V176" s="216"/>
      <c r="W176" s="481"/>
      <c r="X176" s="216"/>
      <c r="Y176" s="216"/>
      <c r="Z176" s="216"/>
      <c r="AA176" s="216"/>
      <c r="AB176" s="481"/>
      <c r="AC176" s="216"/>
      <c r="AD176" s="216"/>
      <c r="AE176" s="216"/>
      <c r="AF176" s="427"/>
      <c r="AG176" s="481"/>
      <c r="AH176" s="427"/>
      <c r="AI176" s="427"/>
      <c r="AJ176" s="427"/>
      <c r="AK176" s="427"/>
      <c r="AL176" s="481"/>
      <c r="AM176" s="427"/>
      <c r="AN176" s="427"/>
      <c r="AO176" s="427"/>
      <c r="AP176" s="427"/>
      <c r="AQ176" s="481"/>
      <c r="AR176" s="216"/>
      <c r="AS176" s="216"/>
      <c r="AT176" s="216"/>
      <c r="AU176" s="216"/>
      <c r="AV176" s="481"/>
      <c r="AW176" s="216"/>
      <c r="AX176" s="216"/>
      <c r="AY176" s="216"/>
      <c r="AZ176" s="216"/>
      <c r="BA176" s="481"/>
      <c r="BB176" s="216"/>
      <c r="BC176" s="216"/>
      <c r="BD176" s="216"/>
      <c r="BE176" s="216"/>
      <c r="BF176" s="481"/>
      <c r="BG176" s="216"/>
      <c r="BH176" s="216"/>
      <c r="BI176" s="216"/>
      <c r="BJ176" s="216"/>
      <c r="BK176" s="481"/>
      <c r="BL176" s="216"/>
      <c r="BM176" s="216"/>
      <c r="BN176" s="216"/>
      <c r="BO176" s="216"/>
      <c r="BP176" s="481"/>
      <c r="BQ176" s="216"/>
      <c r="BR176" s="216"/>
      <c r="BS176" s="216"/>
      <c r="BT176" s="216"/>
      <c r="BU176" s="481"/>
      <c r="BV176" s="216"/>
      <c r="BW176" s="216"/>
      <c r="BX176" s="216"/>
      <c r="BY176" s="216"/>
      <c r="BZ176" s="481"/>
      <c r="CA176" s="216"/>
      <c r="CB176" s="216"/>
      <c r="CC176" s="216"/>
      <c r="CD176" s="216"/>
      <c r="CE176" s="481"/>
    </row>
    <row r="177" spans="2:83" ht="13.15">
      <c r="B177" s="415" t="s">
        <v>141</v>
      </c>
      <c r="C177" s="415"/>
      <c r="D177" s="171"/>
      <c r="E177" s="171"/>
      <c r="F177" s="171"/>
      <c r="G177" s="171"/>
      <c r="H177" s="171"/>
      <c r="I177" s="171">
        <f>+(I$59/D$59)-1</f>
        <v>-0.37008665468844226</v>
      </c>
      <c r="J177" s="171">
        <f t="shared" ref="J177:AL177" si="1090">+(J$59/E$59)-1</f>
        <v>1.571343360425947</v>
      </c>
      <c r="K177" s="171">
        <f t="shared" si="1090"/>
        <v>-0.20350933376786728</v>
      </c>
      <c r="L177" s="171">
        <f t="shared" si="1090"/>
        <v>-0.18518336608382369</v>
      </c>
      <c r="M177" s="171">
        <f t="shared" si="1090"/>
        <v>-2.3786969572169414E-2</v>
      </c>
      <c r="N177" s="171">
        <f t="shared" si="1090"/>
        <v>3.6408991103297703</v>
      </c>
      <c r="O177" s="171">
        <f t="shared" si="1090"/>
        <v>0.90511209434001372</v>
      </c>
      <c r="P177" s="171">
        <f t="shared" si="1090"/>
        <v>0.90235662399534622</v>
      </c>
      <c r="Q177" s="171">
        <f t="shared" si="1090"/>
        <v>2.1433129808631217</v>
      </c>
      <c r="R177" s="426">
        <f t="shared" si="1090"/>
        <v>1.3305773922472204</v>
      </c>
      <c r="S177" s="171">
        <f t="shared" si="1090"/>
        <v>2.1896720676480799</v>
      </c>
      <c r="T177" s="171">
        <f t="shared" si="1090"/>
        <v>0.42867011452823811</v>
      </c>
      <c r="U177" s="171">
        <f t="shared" si="1090"/>
        <v>0.21513087710774914</v>
      </c>
      <c r="V177" s="171">
        <f t="shared" si="1090"/>
        <v>0.37607809760368549</v>
      </c>
      <c r="W177" s="480">
        <f t="shared" si="1090"/>
        <v>0.51165827640156869</v>
      </c>
      <c r="X177" s="171">
        <f t="shared" si="1090"/>
        <v>0.45350495451373973</v>
      </c>
      <c r="Y177" s="171">
        <f t="shared" si="1090"/>
        <v>0.21864890208022736</v>
      </c>
      <c r="Z177" s="171">
        <f t="shared" si="1090"/>
        <v>0.17838522296928505</v>
      </c>
      <c r="AA177" s="171">
        <f t="shared" si="1090"/>
        <v>9.5428675330898605E-2</v>
      </c>
      <c r="AB177" s="480">
        <f t="shared" si="1090"/>
        <v>0.22134477525351248</v>
      </c>
      <c r="AC177" s="171">
        <f t="shared" si="1090"/>
        <v>-2.7633305373708894E-2</v>
      </c>
      <c r="AD177" s="171">
        <f t="shared" si="1090"/>
        <v>0.29414410049290529</v>
      </c>
      <c r="AE177" s="171">
        <f t="shared" si="1090"/>
        <v>0.39551263037094286</v>
      </c>
      <c r="AF177" s="426">
        <f t="shared" si="1090"/>
        <v>0.40320544036036154</v>
      </c>
      <c r="AG177" s="480">
        <f t="shared" si="1090"/>
        <v>0.27336074667393206</v>
      </c>
      <c r="AH177" s="426">
        <f t="shared" si="1090"/>
        <v>0.74051694276769697</v>
      </c>
      <c r="AI177" s="426">
        <f t="shared" si="1090"/>
        <v>0.51395005099810032</v>
      </c>
      <c r="AJ177" s="426">
        <f t="shared" si="1090"/>
        <v>0.59545417625982777</v>
      </c>
      <c r="AK177" s="426">
        <f t="shared" si="1090"/>
        <v>0.62405488839055256</v>
      </c>
      <c r="AL177" s="480">
        <f t="shared" si="1090"/>
        <v>0.60591423412606016</v>
      </c>
      <c r="AM177" s="426">
        <f t="shared" ref="AM177" si="1091">+(AM$59/AH$59)-1</f>
        <v>0.36834259287624249</v>
      </c>
      <c r="AN177" s="426">
        <f t="shared" ref="AN177" si="1092">+(AN$59/AI$59)-1</f>
        <v>0.42512932610246823</v>
      </c>
      <c r="AO177" s="426">
        <f t="shared" ref="AO177" si="1093">+(AO$59/AJ$59)-1</f>
        <v>0.32297017801945205</v>
      </c>
      <c r="AP177" s="426">
        <f t="shared" ref="AP177" si="1094">+(AP$59/AK$59)-1</f>
        <v>0.21664857598672471</v>
      </c>
      <c r="AQ177" s="480">
        <f t="shared" ref="AQ177" si="1095">+(AQ$59/AL$59)-1</f>
        <v>0.32162196412844679</v>
      </c>
      <c r="AR177" s="171">
        <f t="shared" ref="AR177" si="1096">+(AR$59/AM$59)-1</f>
        <v>0.33610577535554453</v>
      </c>
      <c r="AS177" s="171">
        <f t="shared" ref="AS177" si="1097">+(AS$59/AN$59)-1</f>
        <v>0.33988181403234075</v>
      </c>
      <c r="AT177" s="171">
        <f t="shared" ref="AT177" si="1098">+(AT$59/AO$59)-1</f>
        <v>0.18738083244557169</v>
      </c>
      <c r="AU177" s="171">
        <f t="shared" ref="AU177" si="1099">+(AU$59/AP$59)-1</f>
        <v>0.13424673291797817</v>
      </c>
      <c r="AV177" s="480">
        <f t="shared" ref="AV177" si="1100">+(AV$59/AQ$59)-1</f>
        <v>0.24077164402831164</v>
      </c>
      <c r="AW177" s="171">
        <f t="shared" ref="AW177" si="1101">+(AW$59/AR$59)-1</f>
        <v>0.12864505076489818</v>
      </c>
      <c r="AX177" s="171">
        <f t="shared" ref="AX177" si="1102">+(AX$59/AS$59)-1</f>
        <v>6.5509741993377224E-2</v>
      </c>
      <c r="AY177" s="171">
        <f t="shared" ref="AY177" si="1103">+(AY$59/AT$59)-1</f>
        <v>0.11045057755617149</v>
      </c>
      <c r="AZ177" s="171">
        <f t="shared" ref="AZ177" si="1104">+(AZ$59/AU$59)-1</f>
        <v>0.19066338617603473</v>
      </c>
      <c r="BA177" s="480">
        <f t="shared" ref="BA177" si="1105">+(BA$59/AV$59)-1</f>
        <v>0.12470891739606893</v>
      </c>
      <c r="BB177" s="171">
        <f t="shared" ref="BB177" si="1106">+(BB$59/AW$59)-1</f>
        <v>0.20776205781334878</v>
      </c>
      <c r="BC177" s="171">
        <f t="shared" ref="BC177" si="1107">+(BC$59/AX$59)-1</f>
        <v>0.12686861971138397</v>
      </c>
      <c r="BD177" s="171">
        <f t="shared" ref="BD177" si="1108">+(BD$59/AY$59)-1</f>
        <v>9.8330876582436444E-2</v>
      </c>
      <c r="BE177" s="171">
        <f t="shared" ref="BE177" si="1109">+(BE$59/AZ$59)-1</f>
        <v>0.19750388931265062</v>
      </c>
      <c r="BF177" s="480">
        <f t="shared" ref="BF177" si="1110">+(BF$59/BA$59)-1</f>
        <v>0.15567014451022332</v>
      </c>
      <c r="BG177" s="171">
        <f t="shared" ref="BG177" si="1111">+(BG$59/BB$59)-1</f>
        <v>0.22941700543736943</v>
      </c>
      <c r="BH177" s="171">
        <f t="shared" ref="BH177" si="1112">+(BH$59/BC$59)-1</f>
        <v>0.42644990346776956</v>
      </c>
      <c r="BI177" s="171">
        <f t="shared" ref="BI177" si="1113">+(BI$59/BD$59)-1</f>
        <v>0.61143487773665273</v>
      </c>
      <c r="BJ177" s="171">
        <f t="shared" ref="BJ177" si="1114">+(BJ$59/BE$59)-1</f>
        <v>0.38636334210420009</v>
      </c>
      <c r="BK177" s="480">
        <f t="shared" ref="BK177" si="1115">+(BK$59/BF$59)-1</f>
        <v>0.41610252872904319</v>
      </c>
      <c r="BL177" s="171">
        <f t="shared" ref="BL177" si="1116">+(BL$59/BG$59)-1</f>
        <v>0.32752813041054396</v>
      </c>
      <c r="BM177" s="171">
        <f t="shared" ref="BM177" si="1117">+(BM$59/BH$59)-1</f>
        <v>0.19835519463205431</v>
      </c>
      <c r="BN177" s="171">
        <f t="shared" ref="BN177" si="1118">+(BN$59/BI$59)-1</f>
        <v>3.1369906779163736E-2</v>
      </c>
      <c r="BO177" s="171">
        <f t="shared" ref="BO177" si="1119">+(BO$59/BJ$59)-1</f>
        <v>0.14630232806760635</v>
      </c>
      <c r="BP177" s="480">
        <f t="shared" ref="BP177" si="1120">+(BP$59/BK$59)-1</f>
        <v>0.16321418154950118</v>
      </c>
      <c r="BQ177" s="171">
        <f t="shared" ref="BQ177" si="1121">+(BQ$59/BL$59)-1</f>
        <v>0.15122186315877517</v>
      </c>
      <c r="BR177" s="171">
        <f t="shared" ref="BR177" si="1122">+(BR$59/BM$59)-1</f>
        <v>0.10338732250575244</v>
      </c>
      <c r="BS177" s="171">
        <f t="shared" ref="BS177" si="1123">+(BS$59/BN$59)-1</f>
        <v>0.19037956731632577</v>
      </c>
      <c r="BT177" s="171">
        <f t="shared" ref="BT177" si="1124">+(BT$59/BO$59)-1</f>
        <v>0.16775935576148338</v>
      </c>
      <c r="BU177" s="480">
        <f t="shared" ref="BU177" si="1125">+(BU$59/BP$59)-1</f>
        <v>0.15360018995667346</v>
      </c>
      <c r="BV177" s="171">
        <f t="shared" ref="BV177" si="1126">+(BV$59/BQ$59)-1</f>
        <v>7.146684870469322E-2</v>
      </c>
      <c r="BW177" s="171">
        <f t="shared" ref="BW177" si="1127">+(BW$59/BR$59)-1</f>
        <v>6.6064702775775697E-2</v>
      </c>
      <c r="BX177" s="171">
        <f t="shared" ref="BX177" si="1128">+(BX$59/BS$59)-1</f>
        <v>5.9738222267036178E-4</v>
      </c>
      <c r="BY177" s="171">
        <f t="shared" ref="BY177" si="1129">+(BY$59/BT$59)-1</f>
        <v>9.7112611041927366E-4</v>
      </c>
      <c r="BZ177" s="480">
        <f t="shared" ref="BZ177" si="1130">+(BZ$59/BU$59)-1</f>
        <v>3.2999058755334598E-2</v>
      </c>
      <c r="CA177" s="171">
        <f t="shared" ref="CA177" si="1131">+(CA$59/BV$59)-1</f>
        <v>8.0960516499698931E-2</v>
      </c>
      <c r="CB177" s="171">
        <f t="shared" ref="CB177" si="1132">+(CB$59/BW$59)-1</f>
        <v>0.10382182238702886</v>
      </c>
      <c r="CC177" s="171">
        <f t="shared" ref="CC177" si="1133">+(CC$59/BX$59)-1</f>
        <v>0.10121578002872056</v>
      </c>
      <c r="CD177" s="171">
        <f t="shared" ref="CD177" si="1134">+(CD$59/BY$59)-1</f>
        <v>0.14219809263027838</v>
      </c>
      <c r="CE177" s="480">
        <f t="shared" ref="CE177" si="1135">+(CE$59/BZ$59)-1</f>
        <v>0.10774120743944571</v>
      </c>
    </row>
    <row r="178" spans="2:83" ht="2.1" customHeight="1">
      <c r="B178" s="415"/>
      <c r="C178" s="415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426"/>
      <c r="S178" s="171"/>
      <c r="T178" s="171"/>
      <c r="U178" s="171"/>
      <c r="V178" s="171"/>
      <c r="W178" s="480"/>
      <c r="X178" s="171"/>
      <c r="Y178" s="171"/>
      <c r="Z178" s="171"/>
      <c r="AA178" s="171"/>
      <c r="AB178" s="480"/>
      <c r="AC178" s="171"/>
      <c r="AD178" s="171"/>
      <c r="AE178" s="171"/>
      <c r="AF178" s="426"/>
      <c r="AG178" s="480"/>
      <c r="AH178" s="426"/>
      <c r="AI178" s="426"/>
      <c r="AJ178" s="426"/>
      <c r="AK178" s="426"/>
      <c r="AL178" s="480"/>
      <c r="AM178" s="426"/>
      <c r="AN178" s="426"/>
      <c r="AO178" s="426"/>
      <c r="AP178" s="426"/>
      <c r="AQ178" s="480"/>
      <c r="AR178" s="171"/>
      <c r="AS178" s="171"/>
      <c r="AT178" s="171"/>
      <c r="AU178" s="171"/>
      <c r="AV178" s="480"/>
      <c r="AW178" s="171"/>
      <c r="AX178" s="171"/>
      <c r="AY178" s="171"/>
      <c r="AZ178" s="171"/>
      <c r="BA178" s="480"/>
      <c r="BB178" s="171"/>
      <c r="BC178" s="171"/>
      <c r="BD178" s="171"/>
      <c r="BE178" s="171"/>
      <c r="BF178" s="480"/>
      <c r="BG178" s="171"/>
      <c r="BH178" s="171"/>
      <c r="BI178" s="171"/>
      <c r="BJ178" s="171"/>
      <c r="BK178" s="480"/>
      <c r="BL178" s="171"/>
      <c r="BM178" s="171"/>
      <c r="BN178" s="171"/>
      <c r="BO178" s="171"/>
      <c r="BP178" s="480"/>
      <c r="BQ178" s="171"/>
      <c r="BR178" s="171"/>
      <c r="BS178" s="171"/>
      <c r="BT178" s="171"/>
      <c r="BU178" s="480"/>
      <c r="BV178" s="171"/>
      <c r="BW178" s="171"/>
      <c r="BX178" s="171"/>
      <c r="BY178" s="171"/>
      <c r="BZ178" s="480"/>
      <c r="CA178" s="171"/>
      <c r="CB178" s="171"/>
      <c r="CC178" s="171"/>
      <c r="CD178" s="171"/>
      <c r="CE178" s="480"/>
    </row>
    <row r="179" spans="2:83" ht="4.3499999999999996" customHeight="1">
      <c r="B179" s="415"/>
      <c r="C179" s="415"/>
      <c r="D179" s="230"/>
      <c r="E179" s="230"/>
      <c r="F179" s="230"/>
      <c r="G179" s="230"/>
      <c r="H179" s="230"/>
      <c r="I179" s="230"/>
      <c r="J179" s="230"/>
      <c r="K179" s="230"/>
      <c r="L179" s="230"/>
      <c r="M179" s="230"/>
      <c r="N179" s="230"/>
      <c r="O179" s="230"/>
      <c r="P179" s="230"/>
      <c r="Q179" s="230"/>
      <c r="R179" s="453"/>
      <c r="S179" s="230"/>
      <c r="T179" s="230"/>
      <c r="U179" s="230"/>
      <c r="V179" s="230"/>
      <c r="W179" s="527"/>
      <c r="X179" s="230"/>
      <c r="Y179" s="230"/>
      <c r="Z179" s="230"/>
      <c r="AA179" s="230"/>
      <c r="AB179" s="527"/>
      <c r="AC179" s="230"/>
      <c r="AD179" s="230"/>
      <c r="AE179" s="230"/>
      <c r="AF179" s="453"/>
      <c r="AG179" s="527"/>
      <c r="AH179" s="453"/>
      <c r="AI179" s="453"/>
      <c r="AJ179" s="453"/>
      <c r="AK179" s="453"/>
      <c r="AL179" s="527"/>
      <c r="AM179" s="453"/>
      <c r="AN179" s="453"/>
      <c r="AO179" s="453"/>
      <c r="AP179" s="453"/>
      <c r="AQ179" s="527"/>
      <c r="AR179" s="230"/>
      <c r="AS179" s="230"/>
      <c r="AT179" s="230"/>
      <c r="AU179" s="230"/>
      <c r="AV179" s="527"/>
      <c r="AW179" s="230"/>
      <c r="AX179" s="230"/>
      <c r="AY179" s="230"/>
      <c r="AZ179" s="230"/>
      <c r="BA179" s="527"/>
      <c r="BB179" s="230"/>
      <c r="BC179" s="230"/>
      <c r="BD179" s="230"/>
      <c r="BE179" s="230"/>
      <c r="BF179" s="527"/>
      <c r="BG179" s="230"/>
      <c r="BH179" s="230"/>
      <c r="BI179" s="230"/>
      <c r="BJ179" s="230"/>
      <c r="BK179" s="527"/>
      <c r="BL179" s="230"/>
      <c r="BM179" s="230"/>
      <c r="BN179" s="230"/>
      <c r="BO179" s="230"/>
      <c r="BP179" s="527"/>
      <c r="BQ179" s="230"/>
      <c r="BR179" s="230"/>
      <c r="BS179" s="230"/>
      <c r="BT179" s="230"/>
      <c r="BU179" s="527"/>
      <c r="BV179" s="230"/>
      <c r="BW179" s="230"/>
      <c r="BX179" s="230"/>
      <c r="BY179" s="230"/>
      <c r="BZ179" s="527"/>
      <c r="CA179" s="230"/>
      <c r="CB179" s="230"/>
      <c r="CC179" s="230"/>
      <c r="CD179" s="230"/>
      <c r="CE179" s="527"/>
    </row>
    <row r="180" spans="2:83" ht="12.6" customHeight="1">
      <c r="B180" s="407" t="s">
        <v>14</v>
      </c>
      <c r="C180" s="407"/>
      <c r="D180" s="171"/>
      <c r="E180" s="171"/>
      <c r="F180" s="171"/>
      <c r="G180" s="171"/>
      <c r="H180" s="171"/>
      <c r="I180" s="171">
        <f>+(I$62/D$62)-1</f>
        <v>0.40481304693715203</v>
      </c>
      <c r="J180" s="171">
        <f t="shared" ref="J180:AL180" si="1136">+(J$62/E$62)-1</f>
        <v>0.36147868902908131</v>
      </c>
      <c r="K180" s="171">
        <f t="shared" si="1136"/>
        <v>0.36549255980410633</v>
      </c>
      <c r="L180" s="171">
        <f t="shared" si="1136"/>
        <v>4.6030116358658502E-2</v>
      </c>
      <c r="M180" s="171">
        <f t="shared" si="1136"/>
        <v>0.27398110780965901</v>
      </c>
      <c r="N180" s="171">
        <f t="shared" si="1136"/>
        <v>4.997593227057795E-2</v>
      </c>
      <c r="O180" s="171">
        <f t="shared" si="1136"/>
        <v>4.0855536405503878E-2</v>
      </c>
      <c r="P180" s="171">
        <f t="shared" si="1136"/>
        <v>2.2981212238254223E-2</v>
      </c>
      <c r="Q180" s="171">
        <f t="shared" si="1136"/>
        <v>2.595561371939592E-2</v>
      </c>
      <c r="R180" s="426">
        <f t="shared" si="1136"/>
        <v>3.4782608695652195E-2</v>
      </c>
      <c r="S180" s="171">
        <f t="shared" si="1136"/>
        <v>3.1093252791111636E-2</v>
      </c>
      <c r="T180" s="171">
        <f t="shared" si="1136"/>
        <v>4.4409457368549621E-2</v>
      </c>
      <c r="U180" s="171">
        <f t="shared" si="1136"/>
        <v>2.3139158576051866E-2</v>
      </c>
      <c r="V180" s="171">
        <f t="shared" si="1136"/>
        <v>1.3712463460005209E-2</v>
      </c>
      <c r="W180" s="480">
        <f t="shared" si="1136"/>
        <v>2.8008961791281761E-2</v>
      </c>
      <c r="X180" s="171">
        <f t="shared" si="1136"/>
        <v>-1.0383156793513759E-2</v>
      </c>
      <c r="Y180" s="171">
        <f t="shared" si="1136"/>
        <v>-8.6289798570500231E-3</v>
      </c>
      <c r="Z180" s="171">
        <f t="shared" si="1136"/>
        <v>2.0401708049976319E-2</v>
      </c>
      <c r="AA180" s="171">
        <f t="shared" si="1136"/>
        <v>2.2440098568657252E-2</v>
      </c>
      <c r="AB180" s="480">
        <f t="shared" si="1136"/>
        <v>5.8968284094924606E-3</v>
      </c>
      <c r="AC180" s="171">
        <f t="shared" si="1136"/>
        <v>2.6613457370896931E-2</v>
      </c>
      <c r="AD180" s="171">
        <f t="shared" si="1136"/>
        <v>3.6494245339905085E-2</v>
      </c>
      <c r="AE180" s="171">
        <f t="shared" si="1136"/>
        <v>4.0995040297582053E-2</v>
      </c>
      <c r="AF180" s="426">
        <f t="shared" si="1136"/>
        <v>5.5997128352392123E-2</v>
      </c>
      <c r="AG180" s="480">
        <f t="shared" si="1136"/>
        <v>4.0144441914180762E-2</v>
      </c>
      <c r="AH180" s="426">
        <f t="shared" si="1136"/>
        <v>7.9521173896254238E-2</v>
      </c>
      <c r="AI180" s="426">
        <f t="shared" si="1136"/>
        <v>6.7788035917541345E-2</v>
      </c>
      <c r="AJ180" s="426">
        <f t="shared" si="1136"/>
        <v>4.7097942876994425E-2</v>
      </c>
      <c r="AK180" s="426">
        <f t="shared" si="1136"/>
        <v>9.5663575001214696E-3</v>
      </c>
      <c r="AL180" s="480">
        <f t="shared" si="1136"/>
        <v>5.0423795077096267E-2</v>
      </c>
      <c r="AM180" s="426">
        <f t="shared" ref="AM180" si="1137">+(AM$62/AH$62)-1</f>
        <v>-9.2526350932418122E-3</v>
      </c>
      <c r="AN180" s="426">
        <f t="shared" ref="AN180" si="1138">+(AN$62/AI$62)-1</f>
        <v>-1.6226459789174474E-2</v>
      </c>
      <c r="AO180" s="426">
        <f t="shared" ref="AO180" si="1139">+(AO$62/AJ$62)-1</f>
        <v>-2.4527810033888708E-2</v>
      </c>
      <c r="AP180" s="426">
        <f t="shared" ref="AP180" si="1140">+(AP$62/AK$62)-1</f>
        <v>-1.584896584896589E-2</v>
      </c>
      <c r="AQ180" s="480">
        <f t="shared" ref="AQ180" si="1141">+(AQ$62/AL$62)-1</f>
        <v>-1.5161440158164896E-2</v>
      </c>
      <c r="AR180" s="171">
        <f t="shared" ref="AR180" si="1142">+(AR$62/AM$62)-1</f>
        <v>-1.6848794107735987E-2</v>
      </c>
      <c r="AS180" s="171">
        <f t="shared" ref="AS180" si="1143">+(AS$62/AN$62)-1</f>
        <v>-1.4712256200337115E-2</v>
      </c>
      <c r="AT180" s="171">
        <f t="shared" ref="AT180" si="1144">+(AT$62/AO$62)-1</f>
        <v>-9.6691122880326885E-3</v>
      </c>
      <c r="AU180" s="171">
        <f t="shared" ref="AU180" si="1145">+(AU$62/AP$62)-1</f>
        <v>-1.1754355954155526E-2</v>
      </c>
      <c r="AV180" s="480">
        <f t="shared" ref="AV180" si="1146">+(AV$62/AQ$62)-1</f>
        <v>-1.2625468617728841E-2</v>
      </c>
      <c r="AW180" s="171">
        <f t="shared" ref="AW180" si="1147">+(AW$62/AR$62)-1</f>
        <v>-1.0184595798854224E-2</v>
      </c>
      <c r="AX180" s="171">
        <f t="shared" ref="AX180" si="1148">+(AX$62/AS$62)-1</f>
        <v>-2.0577237957916883E-2</v>
      </c>
      <c r="AY180" s="171">
        <f t="shared" ref="AY180" si="1149">+(AY$62/AT$62)-1</f>
        <v>-2.0262977136689231E-2</v>
      </c>
      <c r="AZ180" s="171">
        <f t="shared" ref="AZ180" si="1150">+(AZ$62/AU$62)-1</f>
        <v>-1.0113748763600383E-2</v>
      </c>
      <c r="BA180" s="480">
        <f t="shared" ref="BA180" si="1151">+(BA$62/AV$62)-1</f>
        <v>-1.7245180413002492E-2</v>
      </c>
      <c r="BB180" s="171">
        <f t="shared" ref="BB180" si="1152">+(BB$62/AW$62)-1</f>
        <v>-1.0610932475884294E-2</v>
      </c>
      <c r="BC180" s="171">
        <f t="shared" ref="BC180" si="1153">+(BC$62/AX$62)-1</f>
        <v>-9.6813633755021833E-3</v>
      </c>
      <c r="BD180" s="171">
        <f t="shared" ref="BD180" si="1154">+(BD$62/AY$62)-1</f>
        <v>-1.7977865691822359E-2</v>
      </c>
      <c r="BE180" s="171">
        <f t="shared" ref="BE180" si="1155">+(BE$62/AZ$62)-1</f>
        <v>-3.8744972646199249E-2</v>
      </c>
      <c r="BF180" s="480">
        <f t="shared" ref="BF180" si="1156">+(BF$62/BA$62)-1</f>
        <v>-1.9230289887584462E-2</v>
      </c>
      <c r="BG180" s="171">
        <f t="shared" ref="BG180" si="1157">+(BG$62/BB$62)-1</f>
        <v>-5.8298542536436626E-2</v>
      </c>
      <c r="BH180" s="171">
        <f t="shared" ref="BH180" si="1158">+(BH$62/BC$62)-1</f>
        <v>-5.6791554334954308E-2</v>
      </c>
      <c r="BI180" s="171">
        <f t="shared" ref="BI180" si="1159">+(BI$62/BD$62)-1</f>
        <v>-4.5181030086690499E-2</v>
      </c>
      <c r="BJ180" s="171">
        <f t="shared" ref="BJ180" si="1160">+(BJ$62/BE$62)-1</f>
        <v>-1.9022869022868982E-2</v>
      </c>
      <c r="BK180" s="480">
        <f t="shared" ref="BK180" si="1161">+(BK$62/BF$62)-1</f>
        <v>-4.5047334646419745E-2</v>
      </c>
      <c r="BL180" s="171">
        <f t="shared" ref="BL180" si="1162">+(BL$62/BG$62)-1</f>
        <v>1.4335395152511587E-3</v>
      </c>
      <c r="BM180" s="171">
        <f t="shared" ref="BM180" si="1163">+(BM$62/BH$62)-1</f>
        <v>7.7467610524917241E-4</v>
      </c>
      <c r="BN180" s="171">
        <f t="shared" ref="BN180" si="1164">+(BN$62/BI$62)-1</f>
        <v>-8.3315530869472187E-3</v>
      </c>
      <c r="BO180" s="171">
        <f t="shared" ref="BO180" si="1165">+(BO$62/BJ$62)-1</f>
        <v>-1.9815619370562643E-2</v>
      </c>
      <c r="BP180" s="480">
        <f t="shared" ref="BP180" si="1166">+(BP$62/BK$62)-1</f>
        <v>-6.5003326679973217E-3</v>
      </c>
      <c r="BQ180" s="171">
        <f t="shared" ref="BQ180" si="1167">+(BQ$62/BL$62)-1</f>
        <v>-2.489197571773194E-2</v>
      </c>
      <c r="BR180" s="171">
        <f t="shared" ref="BR180" si="1168">+(BR$62/BM$62)-1</f>
        <v>-2.5224215246636761E-2</v>
      </c>
      <c r="BS180" s="171">
        <f t="shared" ref="BS180" si="1169">+(BS$62/BN$62)-1</f>
        <v>-2.2700344679017714E-2</v>
      </c>
      <c r="BT180" s="171">
        <f t="shared" ref="BT180" si="1170">+(BT$62/BO$62)-1</f>
        <v>-2.3243243243243228E-2</v>
      </c>
      <c r="BU180" s="480">
        <f t="shared" ref="BU180" si="1171">+(BU$62/BP$62)-1</f>
        <v>-2.4021751505126421E-2</v>
      </c>
      <c r="BV180" s="171">
        <f t="shared" ref="BV180" si="1172">+(BV$62/BQ$62)-1</f>
        <v>-2.143758155719877E-2</v>
      </c>
      <c r="BW180" s="171">
        <f t="shared" ref="BW180" si="1173">+(BW$62/BR$62)-1</f>
        <v>-2.4193280210301538E-2</v>
      </c>
      <c r="BX180" s="171">
        <f t="shared" ref="BX180" si="1174">+(BX$62/BS$62)-1</f>
        <v>-3.0881319064282375E-2</v>
      </c>
      <c r="BY180" s="171">
        <f t="shared" ref="BY180" si="1175">+(BY$62/BT$62)-1</f>
        <v>-3.65107348E-2</v>
      </c>
      <c r="BZ180" s="480">
        <f t="shared" ref="BZ180" si="1176">+(BZ$62/BU$62)-1</f>
        <v>-2.8217791544107085E-2</v>
      </c>
      <c r="CA180" s="171">
        <f t="shared" ref="CA180" si="1177">+(CA$62/BV$62)-1</f>
        <v>-3.7478093499999976E-2</v>
      </c>
      <c r="CB180" s="171">
        <f t="shared" ref="CB180" si="1178">+(CB$62/BW$62)-1</f>
        <v>-2.6783405649999925E-2</v>
      </c>
      <c r="CC180" s="171">
        <f t="shared" ref="CC180" si="1179">+(CC$62/BX$62)-1</f>
        <v>-1.2978914950000142E-2</v>
      </c>
      <c r="CD180" s="171">
        <f t="shared" ref="CD180" si="1180">+(CD$62/BY$62)-1</f>
        <v>-2.0120140050002844E-3</v>
      </c>
      <c r="CE180" s="480">
        <f t="shared" ref="CE180" si="1181">+(CE$62/BZ$62)-1</f>
        <v>-1.9982797640479166E-2</v>
      </c>
    </row>
    <row r="181" spans="2:83" ht="12.6" customHeight="1">
      <c r="B181" s="407"/>
      <c r="C181" s="407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426"/>
      <c r="S181" s="171"/>
      <c r="T181" s="171"/>
      <c r="U181" s="171"/>
      <c r="V181" s="171"/>
      <c r="W181" s="426"/>
      <c r="X181" s="171"/>
      <c r="Y181" s="171"/>
      <c r="Z181" s="171"/>
      <c r="AA181" s="171"/>
      <c r="AB181" s="426"/>
      <c r="AC181" s="171"/>
      <c r="AD181" s="171"/>
      <c r="AE181" s="171"/>
      <c r="AF181" s="426"/>
      <c r="AG181" s="426"/>
      <c r="AH181" s="426"/>
      <c r="AI181" s="426"/>
      <c r="AJ181" s="426"/>
      <c r="AK181" s="426"/>
      <c r="AL181" s="426"/>
      <c r="AM181" s="426"/>
      <c r="AN181" s="426"/>
      <c r="AO181" s="426"/>
      <c r="AP181" s="426"/>
      <c r="AQ181" s="426"/>
      <c r="AR181" s="171"/>
      <c r="AS181" s="171"/>
      <c r="AT181" s="171"/>
      <c r="AU181" s="171"/>
      <c r="AV181" s="426"/>
      <c r="AW181" s="171"/>
      <c r="AX181" s="171"/>
      <c r="AY181" s="171"/>
      <c r="AZ181" s="171"/>
      <c r="BA181" s="426"/>
      <c r="BB181" s="171"/>
      <c r="BC181" s="171"/>
      <c r="BD181" s="171"/>
      <c r="BE181" s="171"/>
      <c r="BF181" s="426"/>
      <c r="BG181" s="171"/>
      <c r="BH181" s="171"/>
      <c r="BI181" s="171"/>
      <c r="BJ181" s="171"/>
      <c r="BK181" s="426"/>
      <c r="BL181" s="171"/>
      <c r="BM181" s="171"/>
      <c r="BN181" s="171"/>
      <c r="BO181" s="171"/>
      <c r="BP181" s="426"/>
      <c r="BQ181" s="171"/>
      <c r="BR181" s="171"/>
      <c r="BS181" s="171"/>
      <c r="BT181" s="171"/>
      <c r="BU181" s="426"/>
      <c r="BV181" s="171"/>
      <c r="BW181" s="171"/>
      <c r="BX181" s="171"/>
      <c r="BY181" s="171"/>
      <c r="BZ181" s="426"/>
      <c r="CA181" s="171"/>
      <c r="CB181" s="171"/>
      <c r="CC181" s="171"/>
      <c r="CD181" s="171"/>
      <c r="CE181" s="426"/>
    </row>
    <row r="182" spans="2:83" ht="12.75">
      <c r="B182" s="407"/>
      <c r="C182" s="407"/>
      <c r="D182" s="216"/>
      <c r="E182" s="216"/>
      <c r="F182" s="216"/>
      <c r="G182" s="216"/>
      <c r="H182" s="216"/>
      <c r="I182" s="216"/>
      <c r="J182" s="216"/>
      <c r="K182" s="216"/>
      <c r="L182" s="216"/>
      <c r="M182" s="216"/>
      <c r="N182" s="216"/>
      <c r="O182" s="216"/>
      <c r="P182" s="216"/>
      <c r="Q182" s="216"/>
      <c r="R182" s="427"/>
      <c r="S182" s="216"/>
      <c r="T182" s="216"/>
      <c r="U182" s="216"/>
      <c r="V182" s="216"/>
      <c r="W182" s="427"/>
      <c r="X182" s="216"/>
      <c r="Y182" s="216"/>
      <c r="Z182" s="216"/>
      <c r="AA182" s="216"/>
      <c r="AB182" s="427"/>
      <c r="AC182" s="216"/>
      <c r="AD182" s="216"/>
      <c r="AE182" s="216"/>
      <c r="AF182" s="427"/>
      <c r="AG182" s="427"/>
      <c r="AH182" s="427"/>
      <c r="AI182" s="427"/>
      <c r="AJ182" s="427"/>
      <c r="AK182" s="427"/>
      <c r="AL182" s="427"/>
      <c r="AM182" s="427"/>
      <c r="AN182" s="427"/>
      <c r="AO182" s="427"/>
      <c r="AP182" s="427"/>
      <c r="AQ182" s="427"/>
      <c r="AR182" s="216"/>
      <c r="AS182" s="216"/>
      <c r="AT182" s="216"/>
      <c r="AU182" s="216"/>
      <c r="AV182" s="427"/>
      <c r="AW182" s="216"/>
      <c r="AX182" s="216"/>
      <c r="AY182" s="216"/>
      <c r="AZ182" s="216"/>
      <c r="BA182" s="427"/>
      <c r="BB182" s="216"/>
      <c r="BC182" s="216"/>
      <c r="BD182" s="216"/>
      <c r="BE182" s="216"/>
      <c r="BF182" s="427"/>
      <c r="BG182" s="216"/>
      <c r="BH182" s="216"/>
      <c r="BI182" s="216"/>
      <c r="BJ182" s="216"/>
      <c r="BK182" s="427"/>
      <c r="BL182" s="216"/>
      <c r="BM182" s="216"/>
      <c r="BN182" s="216"/>
      <c r="BO182" s="216"/>
      <c r="BP182" s="427"/>
      <c r="BQ182" s="216"/>
      <c r="BR182" s="216"/>
      <c r="BS182" s="216"/>
      <c r="BT182" s="216"/>
      <c r="BU182" s="427"/>
      <c r="BV182" s="216"/>
      <c r="BW182" s="216"/>
      <c r="BX182" s="216"/>
      <c r="BY182" s="216"/>
      <c r="BZ182" s="427"/>
      <c r="CA182" s="216"/>
      <c r="CB182" s="216"/>
      <c r="CC182" s="216"/>
      <c r="CD182" s="216"/>
      <c r="CE182" s="427"/>
    </row>
    <row r="183" spans="2:83" ht="13.15" thickBot="1">
      <c r="B183" s="446" t="s">
        <v>422</v>
      </c>
      <c r="C183" s="447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447"/>
      <c r="S183" s="228"/>
      <c r="T183" s="228"/>
      <c r="U183" s="228"/>
      <c r="V183" s="228"/>
      <c r="W183" s="447"/>
      <c r="X183" s="228"/>
      <c r="Y183" s="228"/>
      <c r="Z183" s="228"/>
      <c r="AA183" s="228"/>
      <c r="AB183" s="447"/>
      <c r="AC183" s="228"/>
      <c r="AD183" s="228"/>
      <c r="AE183" s="228"/>
      <c r="AF183" s="447"/>
      <c r="AG183" s="447"/>
      <c r="AH183" s="447"/>
      <c r="AI183" s="447"/>
      <c r="AJ183" s="447"/>
      <c r="AK183" s="447"/>
      <c r="AL183" s="447"/>
      <c r="AM183" s="447"/>
      <c r="AN183" s="447"/>
      <c r="AO183" s="447"/>
      <c r="AP183" s="447"/>
      <c r="AQ183" s="447"/>
      <c r="AR183" s="228"/>
      <c r="AS183" s="228"/>
      <c r="AT183" s="228"/>
      <c r="AU183" s="228"/>
      <c r="AV183" s="447"/>
      <c r="AW183" s="228"/>
      <c r="AX183" s="228"/>
      <c r="AY183" s="228"/>
      <c r="AZ183" s="228"/>
      <c r="BA183" s="447"/>
      <c r="BB183" s="228"/>
      <c r="BC183" s="228"/>
      <c r="BD183" s="228"/>
      <c r="BE183" s="228"/>
      <c r="BF183" s="447"/>
      <c r="BG183" s="228"/>
      <c r="BH183" s="228"/>
      <c r="BI183" s="228"/>
      <c r="BJ183" s="228"/>
      <c r="BK183" s="447"/>
      <c r="BL183" s="228"/>
      <c r="BM183" s="228"/>
      <c r="BN183" s="228"/>
      <c r="BO183" s="228"/>
      <c r="BP183" s="447"/>
      <c r="BQ183" s="228"/>
      <c r="BR183" s="228"/>
      <c r="BS183" s="228"/>
      <c r="BT183" s="228"/>
      <c r="BU183" s="447"/>
      <c r="BV183" s="228"/>
      <c r="BW183" s="228"/>
      <c r="BX183" s="228"/>
      <c r="BY183" s="228"/>
      <c r="BZ183" s="447"/>
      <c r="CA183" s="228"/>
      <c r="CB183" s="228"/>
      <c r="CC183" s="228"/>
      <c r="CD183" s="228"/>
      <c r="CE183" s="447"/>
    </row>
    <row r="184" spans="2:83" ht="12.6" customHeight="1">
      <c r="B184" s="645"/>
      <c r="C184" s="645"/>
      <c r="D184" s="649"/>
      <c r="E184" s="649"/>
      <c r="F184" s="649"/>
      <c r="G184" s="649"/>
      <c r="H184" s="649"/>
      <c r="I184" s="649"/>
      <c r="J184" s="649"/>
      <c r="K184" s="649"/>
      <c r="L184" s="649"/>
      <c r="M184" s="649"/>
      <c r="N184" s="649"/>
      <c r="O184" s="649"/>
      <c r="P184" s="649"/>
      <c r="Q184" s="649"/>
      <c r="R184" s="645"/>
      <c r="S184" s="649"/>
      <c r="T184" s="649"/>
      <c r="U184" s="649"/>
      <c r="V184" s="649"/>
      <c r="W184" s="645"/>
      <c r="X184" s="649"/>
      <c r="Y184" s="649"/>
      <c r="Z184" s="649"/>
      <c r="AA184" s="649"/>
      <c r="AB184" s="645"/>
      <c r="AC184" s="649"/>
      <c r="AD184" s="649"/>
      <c r="AE184" s="649"/>
      <c r="AF184" s="645"/>
      <c r="AG184" s="645"/>
      <c r="AH184" s="645"/>
      <c r="AI184" s="645"/>
      <c r="AJ184" s="645"/>
      <c r="AK184" s="645"/>
      <c r="AL184" s="645"/>
      <c r="AM184" s="645"/>
      <c r="AN184" s="645"/>
      <c r="AO184" s="645"/>
      <c r="AP184" s="645"/>
      <c r="AQ184" s="645"/>
      <c r="AR184" s="649"/>
      <c r="AS184" s="649"/>
      <c r="AT184" s="649"/>
      <c r="AU184" s="649"/>
      <c r="AV184" s="645"/>
      <c r="AW184" s="649"/>
      <c r="AX184" s="649"/>
      <c r="AY184" s="649"/>
      <c r="AZ184" s="649"/>
      <c r="BA184" s="645"/>
      <c r="BB184" s="649"/>
      <c r="BC184" s="649"/>
      <c r="BD184" s="649"/>
      <c r="BE184" s="649"/>
      <c r="BF184" s="645"/>
      <c r="BG184" s="649"/>
      <c r="BH184" s="649"/>
      <c r="BI184" s="649"/>
      <c r="BJ184" s="649"/>
      <c r="BK184" s="645"/>
      <c r="BL184" s="649"/>
      <c r="BM184" s="649"/>
      <c r="BN184" s="649"/>
      <c r="BO184" s="649"/>
      <c r="BP184" s="645"/>
      <c r="BQ184" s="649"/>
      <c r="BR184" s="649"/>
      <c r="BS184" s="649"/>
      <c r="BT184" s="649"/>
      <c r="BU184" s="645"/>
      <c r="BV184" s="649"/>
      <c r="BW184" s="649"/>
      <c r="BX184" s="649"/>
      <c r="BY184" s="649"/>
      <c r="BZ184" s="645"/>
      <c r="CA184" s="649"/>
      <c r="CB184" s="649"/>
      <c r="CC184" s="649"/>
      <c r="CD184" s="649"/>
      <c r="CE184" s="645"/>
    </row>
    <row r="185" spans="2:83" ht="12.6" customHeight="1"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H185" s="13"/>
      <c r="AI185" s="13"/>
      <c r="AM185" s="13"/>
      <c r="AN185" s="13"/>
      <c r="AR185" s="13"/>
      <c r="AS185" s="13"/>
      <c r="AW185" s="13"/>
      <c r="AX185" s="13"/>
      <c r="BB185" s="13"/>
      <c r="BC185" s="13"/>
      <c r="BG185" s="13"/>
      <c r="BH185" s="13"/>
      <c r="BL185" s="13"/>
      <c r="BM185" s="13"/>
      <c r="BQ185" s="13"/>
      <c r="BR185" s="13"/>
      <c r="BV185" s="13"/>
      <c r="BW185" s="13"/>
      <c r="CA185" s="13"/>
      <c r="CB185" s="13"/>
    </row>
    <row r="186" spans="2:83" ht="12.6" customHeight="1"/>
    <row r="187" spans="2:83" ht="5.25" customHeight="1" thickBot="1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</row>
    <row r="188" spans="2:83" ht="17.649999999999999">
      <c r="B188" s="202" t="s">
        <v>166</v>
      </c>
      <c r="C188" s="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</row>
    <row r="189" spans="2:83" ht="13.15">
      <c r="B189" s="206" t="s">
        <v>19</v>
      </c>
      <c r="C189" s="206"/>
      <c r="D189" s="206"/>
      <c r="E189" s="206"/>
      <c r="F189" s="206"/>
      <c r="G189" s="206"/>
      <c r="H189" s="206"/>
      <c r="I189" s="206"/>
      <c r="J189" s="206"/>
      <c r="K189" s="206"/>
      <c r="L189" s="206"/>
      <c r="M189" s="206"/>
      <c r="N189" s="206"/>
      <c r="O189" s="206"/>
      <c r="P189" s="206"/>
      <c r="Q189" s="206"/>
      <c r="R189" s="206"/>
      <c r="S189" s="206"/>
      <c r="T189" s="206"/>
      <c r="U189" s="206"/>
      <c r="V189" s="206"/>
      <c r="W189" s="206"/>
      <c r="X189" s="206"/>
      <c r="Y189" s="206"/>
      <c r="Z189" s="206"/>
      <c r="AA189" s="206"/>
      <c r="AB189" s="206"/>
      <c r="AC189" s="206"/>
      <c r="AD189" s="206"/>
      <c r="AE189" s="206"/>
      <c r="AF189" s="206"/>
      <c r="AG189" s="211"/>
      <c r="AH189" s="206"/>
      <c r="AI189" s="206"/>
      <c r="AJ189" s="206"/>
      <c r="AK189" s="206"/>
      <c r="AL189" s="211"/>
      <c r="AM189" s="206"/>
      <c r="AN189" s="206"/>
      <c r="AO189" s="206"/>
      <c r="AP189" s="206"/>
      <c r="AQ189" s="211"/>
      <c r="AR189" s="206"/>
      <c r="AS189" s="206"/>
      <c r="AT189" s="206"/>
      <c r="AU189" s="206"/>
      <c r="AV189" s="211"/>
      <c r="AW189" s="206"/>
      <c r="AX189" s="206"/>
      <c r="AY189" s="206"/>
      <c r="AZ189" s="206"/>
      <c r="BA189" s="211"/>
      <c r="BB189" s="206"/>
      <c r="BC189" s="206"/>
      <c r="BD189" s="206"/>
      <c r="BE189" s="206"/>
      <c r="BF189" s="211"/>
      <c r="BG189" s="206"/>
      <c r="BH189" s="206"/>
      <c r="BI189" s="206"/>
      <c r="BJ189" s="206"/>
      <c r="BK189" s="211"/>
      <c r="BL189" s="206"/>
      <c r="BM189" s="206"/>
      <c r="BN189" s="206"/>
      <c r="BO189" s="206"/>
      <c r="BP189" s="211"/>
      <c r="BQ189" s="206"/>
      <c r="BR189" s="206"/>
      <c r="BS189" s="206"/>
      <c r="BT189" s="206"/>
      <c r="BU189" s="211"/>
      <c r="BV189" s="206"/>
      <c r="BW189" s="206"/>
      <c r="BX189" s="206"/>
      <c r="BY189" s="206"/>
      <c r="BZ189" s="211"/>
      <c r="CA189" s="206"/>
      <c r="CB189" s="206"/>
      <c r="CC189" s="206"/>
      <c r="CD189" s="206"/>
      <c r="CE189" s="211"/>
    </row>
    <row r="190" spans="2:83" ht="12.6" customHeight="1">
      <c r="B190" s="206"/>
      <c r="C190" s="206"/>
      <c r="D190" s="208" t="str">
        <f>+D5</f>
        <v>2012A</v>
      </c>
      <c r="E190" s="209"/>
      <c r="F190" s="210"/>
      <c r="G190" s="210"/>
      <c r="H190" s="211" t="s">
        <v>239</v>
      </c>
      <c r="I190" s="208" t="str">
        <f>+I5</f>
        <v>2013A</v>
      </c>
      <c r="J190" s="209"/>
      <c r="K190" s="210"/>
      <c r="L190" s="210"/>
      <c r="M190" s="211" t="s">
        <v>239</v>
      </c>
      <c r="N190" s="208" t="str">
        <f>+N5</f>
        <v>2014A</v>
      </c>
      <c r="O190" s="209"/>
      <c r="P190" s="210"/>
      <c r="Q190" s="210"/>
      <c r="R190" s="211" t="str">
        <f>+R5</f>
        <v>Year</v>
      </c>
      <c r="S190" s="208" t="str">
        <f>+S5</f>
        <v>2015A</v>
      </c>
      <c r="T190" s="209"/>
      <c r="U190" s="210"/>
      <c r="V190" s="210"/>
      <c r="W190" s="211" t="str">
        <f>+W5</f>
        <v>Year</v>
      </c>
      <c r="X190" s="208" t="str">
        <f>+X5</f>
        <v>2016A</v>
      </c>
      <c r="Y190" s="209"/>
      <c r="Z190" s="210"/>
      <c r="AA190" s="210"/>
      <c r="AB190" s="211" t="str">
        <f>+AB5</f>
        <v>Year</v>
      </c>
      <c r="AC190" s="208" t="str">
        <f>+AC5</f>
        <v>2017A</v>
      </c>
      <c r="AD190" s="209"/>
      <c r="AE190" s="210"/>
      <c r="AF190" s="210"/>
      <c r="AG190" s="211" t="str">
        <f>+AG5</f>
        <v>Year</v>
      </c>
      <c r="AH190" s="208" t="str">
        <f>+AH5</f>
        <v>2018A</v>
      </c>
      <c r="AI190" s="209"/>
      <c r="AJ190" s="210"/>
      <c r="AK190" s="210"/>
      <c r="AL190" s="211" t="str">
        <f>+AL5</f>
        <v>Year</v>
      </c>
      <c r="AM190" s="208" t="str">
        <f>+AM5</f>
        <v>2019A</v>
      </c>
      <c r="AN190" s="209"/>
      <c r="AO190" s="210"/>
      <c r="AP190" s="210"/>
      <c r="AQ190" s="211" t="str">
        <f>+AQ5</f>
        <v>Year</v>
      </c>
      <c r="AR190" s="208" t="str">
        <f>+AR5</f>
        <v>2020A</v>
      </c>
      <c r="AS190" s="209"/>
      <c r="AT190" s="210"/>
      <c r="AU190" s="210"/>
      <c r="AV190" s="211" t="str">
        <f>+AV5</f>
        <v>Year</v>
      </c>
      <c r="AW190" s="208" t="str">
        <f>+AW5</f>
        <v>2021A</v>
      </c>
      <c r="AX190" s="209"/>
      <c r="AY190" s="210"/>
      <c r="AZ190" s="210"/>
      <c r="BA190" s="211" t="str">
        <f>+BA5</f>
        <v>Year</v>
      </c>
      <c r="BB190" s="208" t="str">
        <f>+BB5</f>
        <v>2022A</v>
      </c>
      <c r="BC190" s="209"/>
      <c r="BD190" s="210"/>
      <c r="BE190" s="210"/>
      <c r="BF190" s="211" t="str">
        <f>+BF5</f>
        <v>Year</v>
      </c>
      <c r="BG190" s="208" t="str">
        <f>+BG5</f>
        <v>2023A</v>
      </c>
      <c r="BH190" s="209"/>
      <c r="BI190" s="210"/>
      <c r="BJ190" s="210"/>
      <c r="BK190" s="211" t="str">
        <f>+BK5</f>
        <v>Year</v>
      </c>
      <c r="BL190" s="208" t="str">
        <f>+BL5</f>
        <v>2024A</v>
      </c>
      <c r="BM190" s="209"/>
      <c r="BN190" s="210"/>
      <c r="BO190" s="210"/>
      <c r="BP190" s="211" t="str">
        <f>+BP5</f>
        <v>Year</v>
      </c>
      <c r="BQ190" s="208" t="str">
        <f>+BQ5</f>
        <v>2025A</v>
      </c>
      <c r="BR190" s="209"/>
      <c r="BS190" s="210"/>
      <c r="BT190" s="210"/>
      <c r="BU190" s="211" t="str">
        <f>+BU5</f>
        <v>Year</v>
      </c>
      <c r="BV190" s="208" t="str">
        <f>+BV5</f>
        <v>2026E</v>
      </c>
      <c r="BW190" s="209"/>
      <c r="BX190" s="210"/>
      <c r="BY190" s="210"/>
      <c r="BZ190" s="211" t="str">
        <f>+BZ5</f>
        <v>Year</v>
      </c>
      <c r="CA190" s="208" t="str">
        <f>+CA5</f>
        <v>2027E</v>
      </c>
      <c r="CB190" s="209"/>
      <c r="CC190" s="210"/>
      <c r="CD190" s="210"/>
      <c r="CE190" s="211" t="str">
        <f>+CE5</f>
        <v>Year</v>
      </c>
    </row>
    <row r="191" spans="2:83" ht="12.6" customHeight="1">
      <c r="B191" s="206"/>
      <c r="C191" s="211"/>
      <c r="D191" s="211" t="str">
        <f>+D6</f>
        <v>1Q-Mar 12A</v>
      </c>
      <c r="E191" s="211" t="str">
        <f>+E6</f>
        <v>2Q-Jun 12A</v>
      </c>
      <c r="F191" s="211" t="str">
        <f>+F6</f>
        <v>3Q-Sep 12A</v>
      </c>
      <c r="G191" s="211" t="str">
        <f>+G6</f>
        <v>4Q-Dec 12A</v>
      </c>
      <c r="H191" s="211" t="str">
        <f>+H6</f>
        <v>2012A</v>
      </c>
      <c r="I191" s="211" t="str">
        <f>+I6</f>
        <v>1Q-Mar 13A</v>
      </c>
      <c r="J191" s="211" t="str">
        <f>+J6</f>
        <v>2Q-Jun 13A</v>
      </c>
      <c r="K191" s="211" t="str">
        <f>+K6</f>
        <v>3Q-Sep 13A</v>
      </c>
      <c r="L191" s="211" t="str">
        <f>+L6</f>
        <v>4Q-Dec 13A</v>
      </c>
      <c r="M191" s="211" t="str">
        <f>+M6</f>
        <v>2013A</v>
      </c>
      <c r="N191" s="211" t="str">
        <f>+N6</f>
        <v>1Q-Mar 14A</v>
      </c>
      <c r="O191" s="211" t="str">
        <f>+O6</f>
        <v>2Q-Jun 14A</v>
      </c>
      <c r="P191" s="211" t="str">
        <f>+P6</f>
        <v>3Q-Sep 14A</v>
      </c>
      <c r="Q191" s="211" t="str">
        <f>+Q6</f>
        <v>4Q-Dec 14A</v>
      </c>
      <c r="R191" s="211" t="str">
        <f>+R6</f>
        <v>2014A</v>
      </c>
      <c r="S191" s="211" t="str">
        <f>+S6</f>
        <v>1Q-Mar 15A</v>
      </c>
      <c r="T191" s="211" t="str">
        <f>+T6</f>
        <v>2Q-Jun 15A</v>
      </c>
      <c r="U191" s="211" t="str">
        <f>+U6</f>
        <v>3Q-Sep 15A</v>
      </c>
      <c r="V191" s="211" t="str">
        <f>+V6</f>
        <v>4Q-Dec 15A</v>
      </c>
      <c r="W191" s="211" t="str">
        <f>+W6</f>
        <v>2015A</v>
      </c>
      <c r="X191" s="211" t="str">
        <f>+X6</f>
        <v>1Q-Mar 16A</v>
      </c>
      <c r="Y191" s="211" t="str">
        <f>+Y6</f>
        <v>2Q-Jun 16A</v>
      </c>
      <c r="Z191" s="211" t="str">
        <f>+Z6</f>
        <v>3Q-Sep 16A</v>
      </c>
      <c r="AA191" s="211" t="str">
        <f>+AA6</f>
        <v>4Q-Dec 16A</v>
      </c>
      <c r="AB191" s="211" t="str">
        <f>+AB6</f>
        <v>2016A</v>
      </c>
      <c r="AC191" s="211" t="str">
        <f>+AC6</f>
        <v>1Q-Mar 17A</v>
      </c>
      <c r="AD191" s="211" t="str">
        <f>+AD6</f>
        <v>2Q-Jun 17A</v>
      </c>
      <c r="AE191" s="211" t="str">
        <f>+AE6</f>
        <v>3Q-Sep 17A</v>
      </c>
      <c r="AF191" s="211" t="str">
        <f>+AF6</f>
        <v>4Q-Dec 17A</v>
      </c>
      <c r="AG191" s="211" t="str">
        <f>+AG6</f>
        <v>2017A</v>
      </c>
      <c r="AH191" s="211" t="str">
        <f>+AH6</f>
        <v>1Q-Mar 18A</v>
      </c>
      <c r="AI191" s="211" t="str">
        <f>+AI6</f>
        <v>2Q-Jun 18A</v>
      </c>
      <c r="AJ191" s="211" t="str">
        <f>+AJ6</f>
        <v>3Q-Sep 18A</v>
      </c>
      <c r="AK191" s="211" t="str">
        <f>+AK6</f>
        <v>4Q-Dec 18A</v>
      </c>
      <c r="AL191" s="211" t="str">
        <f>+AL6</f>
        <v>2018A</v>
      </c>
      <c r="AM191" s="211" t="str">
        <f>+AM6</f>
        <v>1Q-Mar 19A</v>
      </c>
      <c r="AN191" s="211" t="str">
        <f>+AN6</f>
        <v>2Q-Jun 19A</v>
      </c>
      <c r="AO191" s="211" t="str">
        <f>+AO6</f>
        <v>3Q-Sep 19A</v>
      </c>
      <c r="AP191" s="211" t="str">
        <f>+AP6</f>
        <v>4Q-Dec 19A</v>
      </c>
      <c r="AQ191" s="211" t="str">
        <f>+AQ6</f>
        <v>2019A</v>
      </c>
      <c r="AR191" s="211" t="str">
        <f>+AR6</f>
        <v>1Q-Mar 20A</v>
      </c>
      <c r="AS191" s="211" t="str">
        <f>+AS6</f>
        <v>2Q-Jun 20A</v>
      </c>
      <c r="AT191" s="211" t="str">
        <f>+AT6</f>
        <v>3Q-Sep 20A</v>
      </c>
      <c r="AU191" s="211" t="str">
        <f>+AU6</f>
        <v>4Q-Dec 20A</v>
      </c>
      <c r="AV191" s="211" t="str">
        <f>+AV6</f>
        <v>2020A</v>
      </c>
      <c r="AW191" s="211" t="str">
        <f>+AW6</f>
        <v>1Q-Mar 21A</v>
      </c>
      <c r="AX191" s="211" t="str">
        <f>+AX6</f>
        <v>2Q-Jun 21A</v>
      </c>
      <c r="AY191" s="211" t="str">
        <f>+AY6</f>
        <v>3Q-Sep 21A</v>
      </c>
      <c r="AZ191" s="211" t="str">
        <f>+AZ6</f>
        <v>4Q-Dec 21A</v>
      </c>
      <c r="BA191" s="211" t="str">
        <f>+BA6</f>
        <v>2021A</v>
      </c>
      <c r="BB191" s="211" t="str">
        <f>+BB6</f>
        <v>1Q-Mar 22A</v>
      </c>
      <c r="BC191" s="211" t="str">
        <f>+BC6</f>
        <v>2Q-Jun 22A</v>
      </c>
      <c r="BD191" s="211" t="str">
        <f>+BD6</f>
        <v>3Q-Sep 22A</v>
      </c>
      <c r="BE191" s="211" t="str">
        <f>+BE6</f>
        <v>4Q-Dec 22A</v>
      </c>
      <c r="BF191" s="211" t="str">
        <f>+BF6</f>
        <v>2022A</v>
      </c>
      <c r="BG191" s="211" t="str">
        <f>+BG6</f>
        <v>1Q-Mar 23A</v>
      </c>
      <c r="BH191" s="211" t="str">
        <f>+BH6</f>
        <v>2Q-Jun 23A</v>
      </c>
      <c r="BI191" s="211" t="str">
        <f>+BI6</f>
        <v>3Q-Sep 23A</v>
      </c>
      <c r="BJ191" s="211" t="str">
        <f>+BJ6</f>
        <v>4Q-Dec 23A</v>
      </c>
      <c r="BK191" s="211" t="str">
        <f>+BK6</f>
        <v>2023A</v>
      </c>
      <c r="BL191" s="211" t="str">
        <f>+BL6</f>
        <v>1Q-Mar 24A</v>
      </c>
      <c r="BM191" s="211" t="str">
        <f>+BM6</f>
        <v>2Q-Jun 24A</v>
      </c>
      <c r="BN191" s="211" t="str">
        <f>+BN6</f>
        <v>3Q-Sep 24A</v>
      </c>
      <c r="BO191" s="211" t="str">
        <f>+BO6</f>
        <v>4Q-Dec 24A</v>
      </c>
      <c r="BP191" s="211" t="str">
        <f>+BP6</f>
        <v>2024A</v>
      </c>
      <c r="BQ191" s="211" t="str">
        <f>+BQ6</f>
        <v>1Q-Mar 25A</v>
      </c>
      <c r="BR191" s="211" t="str">
        <f>+BR6</f>
        <v>2Q-Jun 25A</v>
      </c>
      <c r="BS191" s="211" t="str">
        <f>+BS6</f>
        <v>3Q-Sep 25A</v>
      </c>
      <c r="BT191" s="211" t="str">
        <f>+BT6</f>
        <v>4Q-Dec 25A</v>
      </c>
      <c r="BU191" s="211" t="str">
        <f>+BU6</f>
        <v>2025A</v>
      </c>
      <c r="BV191" s="211" t="str">
        <f>+BV6</f>
        <v>1Q-Mar 26E</v>
      </c>
      <c r="BW191" s="211" t="str">
        <f>+BW6</f>
        <v>2Q-Jun 26E</v>
      </c>
      <c r="BX191" s="211" t="str">
        <f>+BX6</f>
        <v>3Q-Sep 26E</v>
      </c>
      <c r="BY191" s="211" t="str">
        <f>+BY6</f>
        <v>4Q-Dec 26E</v>
      </c>
      <c r="BZ191" s="211" t="str">
        <f>+BZ6</f>
        <v>2026E</v>
      </c>
      <c r="CA191" s="211" t="str">
        <f>+CA6</f>
        <v>1Q-Mar 27E</v>
      </c>
      <c r="CB191" s="211" t="str">
        <f>+CB6</f>
        <v>2Q-Jun 27E</v>
      </c>
      <c r="CC191" s="211" t="str">
        <f>+CC6</f>
        <v>3Q-Sep 27E</v>
      </c>
      <c r="CD191" s="211" t="str">
        <f>+CD6</f>
        <v>4Q-Dec 27E</v>
      </c>
      <c r="CE191" s="211" t="str">
        <f>+CE6</f>
        <v>2027E</v>
      </c>
    </row>
    <row r="192" spans="2:83" ht="12.6" hidden="1" customHeight="1">
      <c r="B192" s="242" t="s">
        <v>347</v>
      </c>
      <c r="C192" s="212"/>
      <c r="D192" s="180"/>
      <c r="E192" s="180" t="e">
        <f>+(E$7/D$7)-1</f>
        <v>#DIV/0!</v>
      </c>
      <c r="F192" s="180" t="e">
        <f>+(F$7/E$7)-1</f>
        <v>#DIV/0!</v>
      </c>
      <c r="G192" s="180" t="e">
        <f>+(G$7/F$7)-1</f>
        <v>#DIV/0!</v>
      </c>
      <c r="H192" s="231"/>
      <c r="I192" s="180" t="e">
        <f>+(I$7/G$7)-1</f>
        <v>#DIV/0!</v>
      </c>
      <c r="J192" s="180" t="e">
        <f>+(J$7/I$7)-1</f>
        <v>#DIV/0!</v>
      </c>
      <c r="K192" s="180" t="e">
        <f>+(K$7/J$7)-1</f>
        <v>#DIV/0!</v>
      </c>
      <c r="L192" s="180" t="e">
        <f>+(L$7/K$7)-1</f>
        <v>#DIV/0!</v>
      </c>
      <c r="M192" s="231"/>
      <c r="N192" s="180" t="e">
        <f>+(N$7/L$7)-1</f>
        <v>#DIV/0!</v>
      </c>
      <c r="O192" s="180">
        <f>+(O$7/N$7)-1</f>
        <v>-4.4248562505472711E-2</v>
      </c>
      <c r="P192" s="180">
        <f>+(P$7/O$7)-1</f>
        <v>0.12481294854176217</v>
      </c>
      <c r="Q192" s="180">
        <f>+(Q$7/P$7)-1</f>
        <v>0.1778616420503909</v>
      </c>
      <c r="R192" s="231"/>
      <c r="S192" s="180">
        <f>+(S$7/Q$7)-1</f>
        <v>2.0561049258926323E-2</v>
      </c>
      <c r="T192" s="180">
        <f>+(T$7/S$7)-1</f>
        <v>-0.11103331451157539</v>
      </c>
      <c r="U192" s="180">
        <f>+(U$7/T$7)-1</f>
        <v>0.19405980843009218</v>
      </c>
      <c r="V192" s="180">
        <f>+(V$7/U$7)-1</f>
        <v>7.5196289124837667E-2</v>
      </c>
      <c r="W192" s="231"/>
      <c r="X192" s="180">
        <f>+(X$7/V$7)-1</f>
        <v>-1.4862163820229202E-2</v>
      </c>
      <c r="Y192" s="180">
        <f>+(Y$7/X$7)-1</f>
        <v>1.7717959019686536E-2</v>
      </c>
      <c r="Z192" s="180">
        <f>+(Z$7/Y$7)-1</f>
        <v>0.11049701946231894</v>
      </c>
      <c r="AA192" s="180">
        <f>+(AA$7/Z$7)-1</f>
        <v>3.3807323142552415E-2</v>
      </c>
      <c r="AB192" s="231"/>
      <c r="AC192" s="180">
        <f>+(AC$7/AA$7)-1</f>
        <v>6.7054090299500935E-4</v>
      </c>
      <c r="AD192" s="180">
        <f>+(AD$7/AC$7)-1</f>
        <v>3.0841394477758133E-2</v>
      </c>
      <c r="AE192" s="180">
        <f>+(AE$7/AD$7)-1</f>
        <v>0.11539102606840457</v>
      </c>
      <c r="AF192" s="180">
        <f>+(AF$7/AE$7)-1</f>
        <v>0.10482822516774015</v>
      </c>
      <c r="AG192" s="231"/>
      <c r="AH192" s="180">
        <f>+(AH$7/AF$7)-1</f>
        <v>-6.2028295506803333E-2</v>
      </c>
      <c r="AI192" s="180">
        <f>+(AI$7/AH$7)-1</f>
        <v>3.7030628136355714E-2</v>
      </c>
      <c r="AJ192" s="180">
        <f>+(AJ$7/AI$7)-1</f>
        <v>4.7805773402302743E-2</v>
      </c>
      <c r="AK192" s="180">
        <f>+(AK$7/AJ$7)-1</f>
        <v>0.11087666215463021</v>
      </c>
      <c r="AL192" s="231"/>
      <c r="AM192" s="180">
        <f>+(AM$7/AK$7)-1</f>
        <v>1.7465266578265082E-2</v>
      </c>
      <c r="AN192" s="180">
        <f>+(AN$7/AM$7)-1</f>
        <v>-4.7962334597456913E-2</v>
      </c>
      <c r="AO192" s="180">
        <f>+(AO$7/AN$7)-1</f>
        <v>6.5116049626322781E-2</v>
      </c>
      <c r="AP192" s="180">
        <f>+(AP$7/AO$7)-1</f>
        <v>0.11770835745548025</v>
      </c>
      <c r="AQ192" s="231"/>
      <c r="AR192" s="180">
        <f>+(AR$7/AP$7)-1</f>
        <v>-6.008370281357478E-3</v>
      </c>
      <c r="AS192" s="180">
        <f>+(AS$7/AR$7)-1</f>
        <v>-9.6412789728197446E-2</v>
      </c>
      <c r="AT192" s="180">
        <f>+(AT$7/AS$7)-1</f>
        <v>7.9803001118787575E-2</v>
      </c>
      <c r="AU192" s="180">
        <f>+(AU$7/AT$7)-1</f>
        <v>0.15372783593249295</v>
      </c>
      <c r="AV192" s="169"/>
      <c r="AW192" s="180">
        <f>+(AW$7/AU$7)-1</f>
        <v>-5.4179165277932095E-2</v>
      </c>
      <c r="AX192" s="180">
        <f>+(AX$7/AW$7)-1</f>
        <v>6.6797180892717245E-2</v>
      </c>
      <c r="AY192" s="180">
        <f>+(AY$7/AX$7)-1</f>
        <v>4.8713572634515145E-2</v>
      </c>
      <c r="AZ192" s="180">
        <f>+(AZ$7/AY$7)-1</f>
        <v>0.13841617596878208</v>
      </c>
      <c r="BA192" s="169"/>
      <c r="BB192" s="180">
        <f>+(BB$7/AZ$7)-1</f>
        <v>-5.8649020466824964E-2</v>
      </c>
      <c r="BC192" s="180">
        <f>+(BC$7/BB$7)-1</f>
        <v>5.0636011822145388E-2</v>
      </c>
      <c r="BD192" s="180">
        <f>+(BD$7/BC$7)-1</f>
        <v>7.6932641198590446E-4</v>
      </c>
      <c r="BE192" s="180">
        <f>+(BE$7/BD$7)-1</f>
        <v>0.1308169556540848</v>
      </c>
      <c r="BF192" s="169"/>
      <c r="BG192" s="180">
        <f>+(BG$7/BE$7)-1</f>
        <v>-8.3492412277689998E-2</v>
      </c>
      <c r="BH192" s="180">
        <f>+(BH$7/BG$7)-1</f>
        <v>7.2435210645009018E-2</v>
      </c>
      <c r="BI192" s="180">
        <f>+(BI$7/BH$7)-1</f>
        <v>2.508051614165252E-2</v>
      </c>
      <c r="BJ192" s="180">
        <f>+(BJ$7/BI$7)-1</f>
        <v>0.16308296246822374</v>
      </c>
      <c r="BK192" s="169"/>
      <c r="BL192" s="180">
        <f>+(BL$7/BJ$7)-1</f>
        <v>-0.15230460921843691</v>
      </c>
      <c r="BM192" s="180">
        <f>+(BM$7/BL$7)-1</f>
        <v>-2.5935603389877326E-2</v>
      </c>
      <c r="BN192" s="180">
        <f>+(BN$7/BM$7)-1</f>
        <v>0.18763217281462463</v>
      </c>
      <c r="BO192" s="180">
        <f>+(BO$7/BN$7)-1</f>
        <v>0.15221028478554444</v>
      </c>
      <c r="BP192" s="169"/>
      <c r="BQ192" s="180">
        <f>+(BQ$7/BO$7)-1</f>
        <v>-0.19479118588164523</v>
      </c>
      <c r="BR192" s="180">
        <f>+(BR$7/BQ$7)-1</f>
        <v>-1.9688792137364297E-2</v>
      </c>
      <c r="BS192" s="180">
        <f>+(BS$7/BR$7)-1</f>
        <v>0.22454651170430129</v>
      </c>
      <c r="BT192" s="180">
        <f>+(BT$7/BS$7)-1</f>
        <v>9.9502647716847248E-2</v>
      </c>
      <c r="BU192" s="169"/>
      <c r="BV192" s="180">
        <f>+(BV$7/BT$7)-1</f>
        <v>-0.17761739202568605</v>
      </c>
      <c r="BW192" s="180">
        <f>+(BW$7/BV$7)-1</f>
        <v>-2.4610057114220041E-2</v>
      </c>
      <c r="BX192" s="180">
        <f>+(BX$7/BW$7)-1</f>
        <v>0.21937933538265875</v>
      </c>
      <c r="BY192" s="180">
        <f>+(BY$7/BX$7)-1</f>
        <v>8.5411618093521158E-2</v>
      </c>
      <c r="BZ192" s="169"/>
      <c r="CA192" s="180">
        <f>+(CA$7/BY$7)-1</f>
        <v>-0.17240147036447229</v>
      </c>
      <c r="CB192" s="180">
        <f>+(CB$7/CA$7)-1</f>
        <v>-2.3143500189684585E-2</v>
      </c>
      <c r="CC192" s="180">
        <f>+(CC$7/CB$7)-1</f>
        <v>0.20899669137188503</v>
      </c>
      <c r="CD192" s="180">
        <f>+(CD$7/CC$7)-1</f>
        <v>8.5913351563941864E-2</v>
      </c>
      <c r="CE192" s="169"/>
    </row>
    <row r="193" spans="2:83" ht="13.15">
      <c r="B193" s="212" t="s">
        <v>157</v>
      </c>
      <c r="C193" s="212"/>
      <c r="D193" s="180"/>
      <c r="E193" s="180">
        <f>+(E$9/D$9)-1</f>
        <v>4.7142654900665271E-2</v>
      </c>
      <c r="F193" s="180">
        <f>+(F$9/E$9)-1</f>
        <v>5.3717890941865631E-2</v>
      </c>
      <c r="G193" s="180">
        <f>+(G$9/F$9)-1</f>
        <v>5.4529124967924059E-2</v>
      </c>
      <c r="H193" s="231"/>
      <c r="I193" s="180">
        <f>+(I$9/G$9)-1</f>
        <v>9.1657541468954662E-3</v>
      </c>
      <c r="J193" s="180">
        <f>+(J$9/I$9)-1</f>
        <v>5.6584816943294536E-2</v>
      </c>
      <c r="K193" s="180">
        <f>+(K$9/J$9)-1</f>
        <v>5.5456239777870842E-2</v>
      </c>
      <c r="L193" s="180">
        <f>+(L$9/K$9)-1</f>
        <v>4.6488161735558364E-2</v>
      </c>
      <c r="M193" s="231"/>
      <c r="N193" s="180">
        <f>+(N$9/L$9)-1</f>
        <v>4.5352801405006637E-2</v>
      </c>
      <c r="O193" s="180">
        <f>+(O$9/N$9)-1</f>
        <v>6.4105942811964578E-2</v>
      </c>
      <c r="P193" s="180">
        <f>+(P$9/O$9)-1</f>
        <v>6.3339731285988465E-2</v>
      </c>
      <c r="Q193" s="180">
        <f>+(Q$9/P$9)-1</f>
        <v>6.4778153022009954E-2</v>
      </c>
      <c r="R193" s="231"/>
      <c r="S193" s="180">
        <f>+(S$9/Q$9)-1</f>
        <v>2.5155169113827203E-2</v>
      </c>
      <c r="T193" s="180">
        <f>+(T$9/S$9)-1</f>
        <v>6.3585202571146526E-2</v>
      </c>
      <c r="U193" s="180">
        <f>+(U$9/T$9)-1</f>
        <v>6.4999874614439346E-2</v>
      </c>
      <c r="V193" s="180">
        <f>+(V$9/U$9)-1</f>
        <v>4.6528055758317866E-2</v>
      </c>
      <c r="W193" s="231"/>
      <c r="X193" s="180">
        <f>+(X$9/V$9)-1</f>
        <v>4.0566992912588695E-2</v>
      </c>
      <c r="Y193" s="180">
        <f>+(Y$9/X$9)-1</f>
        <v>4.7958830652136353E-2</v>
      </c>
      <c r="Z193" s="180">
        <f>+(Z$9/Y$9)-1</f>
        <v>5.2015846160194723E-2</v>
      </c>
      <c r="AA193" s="180">
        <f>+(AA$9/Z$9)-1</f>
        <v>2.426108615921696E-2</v>
      </c>
      <c r="AB193" s="231"/>
      <c r="AC193" s="180">
        <f>+(AC$9/AA$9)-1</f>
        <v>1.7176011029411686E-2</v>
      </c>
      <c r="AD193" s="180">
        <f>+(AD$9/AC$9)-1</f>
        <v>4.1057209013384499E-2</v>
      </c>
      <c r="AE193" s="180">
        <f>+(AE$9/AD$9)-1</f>
        <v>7.5729630031463602E-2</v>
      </c>
      <c r="AF193" s="180">
        <f>+(AF$9/AE$9)-1</f>
        <v>5.7572701294335227E-2</v>
      </c>
      <c r="AG193" s="231"/>
      <c r="AH193" s="180">
        <f>+(AH$9/AF$9)-1</f>
        <v>3.1200826511960544E-2</v>
      </c>
      <c r="AI193" s="180">
        <f>+(AI$9/AH$9)-1</f>
        <v>5.0479361262677713E-2</v>
      </c>
      <c r="AJ193" s="180">
        <f>+(AJ$9/AI$9)-1</f>
        <v>5.1428403738646766E-2</v>
      </c>
      <c r="AK193" s="180">
        <f>+(AK$9/AJ$9)-1</f>
        <v>3.5474057327862907E-2</v>
      </c>
      <c r="AL193" s="231"/>
      <c r="AM193" s="180">
        <f>+(AM$9/AK$9)-1</f>
        <v>1.5404312668463538E-2</v>
      </c>
      <c r="AN193" s="180">
        <f>+(AN$9/AM$9)-1</f>
        <v>4.7595662503484126E-2</v>
      </c>
      <c r="AO193" s="180">
        <f>+(AO$9/AN$9)-1</f>
        <v>4.740969732291056E-2</v>
      </c>
      <c r="AP193" s="180">
        <f>+(AP$9/AO$9)-1</f>
        <v>2.410760726252259E-2</v>
      </c>
      <c r="AQ193" s="231"/>
      <c r="AR193" s="180">
        <f>+(AR$9/AP$9)-1</f>
        <v>1.8886421619578542E-2</v>
      </c>
      <c r="AS193" s="180">
        <f>+(AS$9/AR$9)-1</f>
        <v>2.9757833601891992E-2</v>
      </c>
      <c r="AT193" s="180">
        <f>+(AT$9/AS$9)-1</f>
        <v>4.7720364741641319E-2</v>
      </c>
      <c r="AU193" s="180">
        <f>+(AU$9/AT$9)-1</f>
        <v>1.8609848606947477E-2</v>
      </c>
      <c r="AV193" s="231"/>
      <c r="AW193" s="180">
        <f>+(AW$9/AU$9)-1</f>
        <v>2.0622145336019582E-2</v>
      </c>
      <c r="AX193" s="180">
        <f>+(AX$9/AW$9)-1</f>
        <v>3.0447724172144364E-2</v>
      </c>
      <c r="AY193" s="180">
        <f>+(AY$9/AX$9)-1</f>
        <v>5.2476379611241519E-2</v>
      </c>
      <c r="AZ193" s="180">
        <f>+(AZ$9/AY$9)-1</f>
        <v>4.6181409266777163E-2</v>
      </c>
      <c r="BA193" s="231"/>
      <c r="BB193" s="180">
        <f>+(BB$9/AZ$9)-1</f>
        <v>3.3157223537985114E-2</v>
      </c>
      <c r="BC193" s="180">
        <f>+(BC$9/BB$9)-1</f>
        <v>5.7071063304531933E-2</v>
      </c>
      <c r="BD193" s="180">
        <f>+(BD$9/BC$9)-1</f>
        <v>4.7275487309517583E-2</v>
      </c>
      <c r="BE193" s="180">
        <f>+(BE$9/BD$9)-1</f>
        <v>4.2114987934151582E-2</v>
      </c>
      <c r="BF193" s="231"/>
      <c r="BG193" s="180">
        <f>+(BG$9/BE$9)-1</f>
        <v>-1.2686378955896194E-3</v>
      </c>
      <c r="BH193" s="180">
        <f>+(BH$9/BG$9)-1</f>
        <v>4.9937635346602116E-2</v>
      </c>
      <c r="BI193" s="180">
        <f>+(BI$9/BH$9)-1</f>
        <v>3.4888381957451697E-2</v>
      </c>
      <c r="BJ193" s="180">
        <f>+(BJ$9/BI$9)-1</f>
        <v>1.812727119073787E-2</v>
      </c>
      <c r="BK193" s="231"/>
      <c r="BL193" s="180">
        <f>+(BL$9/BJ$9)-1</f>
        <v>8.5425745313689738E-3</v>
      </c>
      <c r="BM193" s="180">
        <f>+(BM$9/BL$9)-1</f>
        <v>1.991015397277196E-2</v>
      </c>
      <c r="BN193" s="180">
        <f>+(BN$9/BM$9)-1</f>
        <v>3.4692148371304743E-2</v>
      </c>
      <c r="BO193" s="180">
        <f>+(BO$9/BN$9)-1</f>
        <v>3.4601311522288736E-2</v>
      </c>
      <c r="BP193" s="231"/>
      <c r="BQ193" s="180">
        <f>+(BQ$9/BO$9)-1</f>
        <v>4.4474876092241988E-3</v>
      </c>
      <c r="BR193" s="180">
        <f>+(BR$9/BQ$9)-1</f>
        <v>2.603518471034838E-2</v>
      </c>
      <c r="BS193" s="180">
        <f>+(BS$9/BR$9)-1</f>
        <v>3.5474393826724127E-2</v>
      </c>
      <c r="BT193" s="180">
        <f>+(BT$9/BS$9)-1</f>
        <v>3.1786769640103074E-2</v>
      </c>
      <c r="BU193" s="231"/>
      <c r="BV193" s="180">
        <f>+(BV$9/BT$9)-1</f>
        <v>-1.0221157905546452E-2</v>
      </c>
      <c r="BW193" s="180">
        <f>+(BW$9/BV$9)-1</f>
        <v>2.1306911969747766E-2</v>
      </c>
      <c r="BX193" s="180">
        <f>+(BX$9/BW$9)-1</f>
        <v>3.0680530892340796E-2</v>
      </c>
      <c r="BY193" s="180">
        <f>+(BY$9/BX$9)-1</f>
        <v>2.6987761409219102E-2</v>
      </c>
      <c r="BZ193" s="231"/>
      <c r="CA193" s="180">
        <f>+(CA$9/BY$9)-1</f>
        <v>-9.7088835326186729E-4</v>
      </c>
      <c r="CB193" s="180">
        <f>+(CB$9/CA$9)-1</f>
        <v>1.1850366488546316E-2</v>
      </c>
      <c r="CC193" s="180">
        <f>+(CC$9/CB$9)-1</f>
        <v>2.1048002566244284E-2</v>
      </c>
      <c r="CD193" s="180">
        <f>+(CD$9/CC$9)-1</f>
        <v>2.6987761409219102E-2</v>
      </c>
      <c r="CE193" s="231"/>
    </row>
    <row r="194" spans="2:83" ht="12.6" customHeight="1">
      <c r="B194" s="212"/>
      <c r="C194" s="212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81"/>
      <c r="AJ194" s="181"/>
      <c r="AK194" s="181"/>
      <c r="AL194" s="181"/>
      <c r="AM194" s="181"/>
      <c r="AN194" s="181"/>
      <c r="AO194" s="181"/>
      <c r="AP194" s="181"/>
      <c r="AQ194" s="181"/>
      <c r="AR194" s="181"/>
      <c r="AS194" s="181"/>
      <c r="AT194" s="181"/>
      <c r="AU194" s="181"/>
      <c r="AV194" s="181"/>
      <c r="AW194" s="181"/>
      <c r="AX194" s="181"/>
      <c r="AY194" s="181"/>
      <c r="AZ194" s="181"/>
      <c r="BA194" s="181"/>
      <c r="BB194" s="181"/>
      <c r="BC194" s="181"/>
      <c r="BD194" s="181"/>
      <c r="BE194" s="181"/>
      <c r="BF194" s="181"/>
      <c r="BG194" s="181"/>
      <c r="BH194" s="181"/>
      <c r="BI194" s="181"/>
      <c r="BJ194" s="181"/>
      <c r="BK194" s="181"/>
      <c r="BL194" s="181"/>
      <c r="BM194" s="181"/>
      <c r="BN194" s="181"/>
      <c r="BO194" s="181"/>
      <c r="BP194" s="181"/>
      <c r="BQ194" s="181"/>
      <c r="BR194" s="181"/>
      <c r="BS194" s="181"/>
      <c r="BT194" s="181"/>
      <c r="BU194" s="181"/>
      <c r="BV194" s="181"/>
      <c r="BW194" s="181"/>
      <c r="BX194" s="181"/>
      <c r="BY194" s="181"/>
      <c r="BZ194" s="181"/>
      <c r="CA194" s="181"/>
      <c r="CB194" s="181"/>
      <c r="CC194" s="181"/>
      <c r="CD194" s="181"/>
      <c r="CE194" s="181"/>
    </row>
    <row r="195" spans="2:83" ht="12.75">
      <c r="B195" s="206" t="s">
        <v>4</v>
      </c>
      <c r="C195" s="206"/>
      <c r="D195" s="171"/>
      <c r="E195" s="171">
        <f>+(E$14/D$14)-1</f>
        <v>0.10959571358986819</v>
      </c>
      <c r="F195" s="171">
        <f>+(F$14/E$14)-1</f>
        <v>2.1949078138723266E-3</v>
      </c>
      <c r="G195" s="171">
        <f>+(G$14/F$14)-1</f>
        <v>7.3149364870783717E-2</v>
      </c>
      <c r="H195" s="232"/>
      <c r="I195" s="171">
        <f>+(I$14/G$14)-1</f>
        <v>0.16367346938775529</v>
      </c>
      <c r="J195" s="171">
        <f>+(J$14/I$14)-1</f>
        <v>1.9466853735531586E-2</v>
      </c>
      <c r="K195" s="171">
        <f>+(K$14/J$14)-1</f>
        <v>8.5842078100808461E-2</v>
      </c>
      <c r="L195" s="171">
        <f>+(L$14/K$14)-1</f>
        <v>1.4100126742712549E-2</v>
      </c>
      <c r="M195" s="232"/>
      <c r="N195" s="171">
        <f>+(N$14/L$14)-1</f>
        <v>4.6242774566473743E-2</v>
      </c>
      <c r="O195" s="171">
        <f>+(O$14/N$14)-1</f>
        <v>4.7782589219053095E-2</v>
      </c>
      <c r="P195" s="171">
        <f>+(P$14/O$14)-1</f>
        <v>3.2635029214764355E-2</v>
      </c>
      <c r="Q195" s="171">
        <f>+(Q$14/P$14)-1</f>
        <v>0</v>
      </c>
      <c r="R195" s="232"/>
      <c r="S195" s="171">
        <f>+(S$14/Q$14)-1</f>
        <v>5.3822798785536863E-2</v>
      </c>
      <c r="T195" s="171">
        <f>+(T$14/S$14)-1</f>
        <v>2.3179675222629648E-2</v>
      </c>
      <c r="U195" s="171">
        <f>+(U$14/T$14)-1</f>
        <v>7.8842954050940772E-2</v>
      </c>
      <c r="V195" s="171">
        <f>+(V$14/U$14)-1</f>
        <v>3.8913275596156316E-2</v>
      </c>
      <c r="W195" s="232"/>
      <c r="X195" s="171">
        <f>+(X$14/V$14)-1</f>
        <v>3.1974420463628972E-2</v>
      </c>
      <c r="Y195" s="171">
        <f>+(Y$14/X$14)-1</f>
        <v>6.9934712847183889E-2</v>
      </c>
      <c r="Z195" s="171">
        <f>+(Z$14/Y$14)-1</f>
        <v>0.11407591271072492</v>
      </c>
      <c r="AA195" s="171">
        <f>+(AA$14/Z$14)-1</f>
        <v>3.3884144077237277E-2</v>
      </c>
      <c r="AB195" s="232"/>
      <c r="AC195" s="171">
        <f>+(AC$14/AA$14)-1</f>
        <v>5.8902756577175364E-2</v>
      </c>
      <c r="AD195" s="171">
        <f>+(AD$14/AC$14)-1</f>
        <v>-1.4924107521411156E-2</v>
      </c>
      <c r="AE195" s="171">
        <f>+(AE$14/AD$14)-1</f>
        <v>4.2437806662649624E-2</v>
      </c>
      <c r="AF195" s="171">
        <f>+(AF$14/AE$14)-1</f>
        <v>0.10990916597853007</v>
      </c>
      <c r="AG195" s="232"/>
      <c r="AH195" s="171">
        <f>+(AH$14/AF$14)-1</f>
        <v>8.9130273045160413E-2</v>
      </c>
      <c r="AI195" s="171">
        <f>+(AI$14/AH$14)-1</f>
        <v>1.099801899036823E-2</v>
      </c>
      <c r="AJ195" s="171">
        <f>+(AJ$14/AI$14)-1</f>
        <v>1.6689189189189158E-2</v>
      </c>
      <c r="AK195" s="171">
        <f>+(AK$14/AJ$14)-1</f>
        <v>3.5754635475510055E-2</v>
      </c>
      <c r="AL195" s="232"/>
      <c r="AM195" s="171">
        <f>+(AM$14/AK$14)-1</f>
        <v>5.3897978825794279E-3</v>
      </c>
      <c r="AN195" s="171">
        <f>+(AN$14/AM$14)-1</f>
        <v>-1.1615291339587719E-2</v>
      </c>
      <c r="AO195" s="171">
        <f>+(AO$14/AN$14)-1</f>
        <v>-2.9121198424485017E-2</v>
      </c>
      <c r="AP195" s="171">
        <f>+(AP$14/AO$14)-1</f>
        <v>2.9263101888801213E-3</v>
      </c>
      <c r="AQ195" s="232"/>
      <c r="AR195" s="171">
        <f>+(AR$14/AP$14)-1</f>
        <v>8.6604774535808948E-2</v>
      </c>
      <c r="AS195" s="171">
        <f>+(AS$14/AR$14)-1</f>
        <v>2.6058830709142056E-2</v>
      </c>
      <c r="AT195" s="171">
        <f>+(AT$14/AS$14)-1</f>
        <v>8.6659132813893924E-2</v>
      </c>
      <c r="AU195" s="171">
        <f>+(AU$14/AT$14)-1</f>
        <v>2.9009304871373764E-2</v>
      </c>
      <c r="AV195" s="232"/>
      <c r="AW195" s="171">
        <f>+(AW$14/AU$14)-1</f>
        <v>2.0478723404255383E-2</v>
      </c>
      <c r="AX195" s="171">
        <f>+(AX$14/AW$14)-1</f>
        <v>-4.951785248892393E-3</v>
      </c>
      <c r="AY195" s="171">
        <f>+(AY$14/AX$14)-1</f>
        <v>4.1016238868517574E-2</v>
      </c>
      <c r="AZ195" s="171">
        <f>+(AZ$14/AY$14)-1</f>
        <v>5.8119056005635716E-2</v>
      </c>
      <c r="BA195" s="232"/>
      <c r="BB195" s="171">
        <f>+(BB$14/AZ$14)-1</f>
        <v>1.2982689747004006E-2</v>
      </c>
      <c r="BC195" s="171">
        <f>+(BC$14/BB$14)-1</f>
        <v>5.0842683442091863E-2</v>
      </c>
      <c r="BD195" s="171">
        <f>+(BD$14/BC$14)-1</f>
        <v>4.3021801286633243E-2</v>
      </c>
      <c r="BE195" s="171">
        <f>+(BE$14/BD$14)-1</f>
        <v>7.5298753587184741E-2</v>
      </c>
      <c r="BF195" s="232"/>
      <c r="BG195" s="171">
        <f>+(BG$14/BE$14)-1</f>
        <v>-1.9518024297948577E-2</v>
      </c>
      <c r="BH195" s="171">
        <f>+(BH$14/BG$14)-1</f>
        <v>-1.6940889701401618E-2</v>
      </c>
      <c r="BI195" s="171">
        <f>+(BI$14/BH$14)-1</f>
        <v>-6.2815108686667953E-3</v>
      </c>
      <c r="BJ195" s="171">
        <f>+(BJ$14/BI$14)-1</f>
        <v>1.2184978790651169E-2</v>
      </c>
      <c r="BK195" s="232"/>
      <c r="BL195" s="171">
        <f>+(BL$14/BJ$14)-1</f>
        <v>3.7799416574222366E-3</v>
      </c>
      <c r="BM195" s="171">
        <f>+(BM$14/BL$14)-1</f>
        <v>-2.5705046866685732E-2</v>
      </c>
      <c r="BN195" s="171">
        <f>+(BN$14/BM$14)-1</f>
        <v>9.4231819518548088E-2</v>
      </c>
      <c r="BO195" s="171">
        <f>+(BO$14/BN$14)-1</f>
        <v>7.2947861475849418E-3</v>
      </c>
      <c r="BP195" s="232"/>
      <c r="BQ195" s="171">
        <f>+(BQ$14/BO$14)-1</f>
        <v>-1.5246226558927045E-3</v>
      </c>
      <c r="BR195" s="171">
        <f>+(BR$14/BQ$14)-1</f>
        <v>2.3667735532142409E-3</v>
      </c>
      <c r="BS195" s="171">
        <f>+(BS$14/BR$14)-1</f>
        <v>-4.840429583365069E-2</v>
      </c>
      <c r="BT195" s="171">
        <f>+(BT$14/BS$14)-1</f>
        <v>5.0186096770320487E-2</v>
      </c>
      <c r="BU195" s="232"/>
      <c r="BV195" s="171">
        <f>+(BV$14/BT$14)-1</f>
        <v>5.7828070576578794E-2</v>
      </c>
      <c r="BW195" s="171">
        <f>+(BW$14/BV$14)-1</f>
        <v>2.1306911969747544E-2</v>
      </c>
      <c r="BX195" s="171">
        <f>+(BX$14/BW$14)-1</f>
        <v>1.1355270938109729E-2</v>
      </c>
      <c r="BY195" s="171">
        <f>+(BY$14/BX$14)-1</f>
        <v>1.3905114767063464E-2</v>
      </c>
      <c r="BZ195" s="232"/>
      <c r="CA195" s="171">
        <f>+(CA$14/BY$14)-1</f>
        <v>1.8365158968932871E-2</v>
      </c>
      <c r="CB195" s="171">
        <f>+(CB$14/CA$14)-1</f>
        <v>-9.5786599864977617E-4</v>
      </c>
      <c r="CC195" s="171">
        <f>+(CC$14/CB$14)-1</f>
        <v>1.4502823062613857E-2</v>
      </c>
      <c r="CD195" s="171">
        <f>+(CD$14/CC$14)-1</f>
        <v>-6.1408760555939912E-3</v>
      </c>
      <c r="CE195" s="232"/>
    </row>
    <row r="196" spans="2:83" ht="12.6" customHeight="1">
      <c r="B196" s="206"/>
      <c r="C196" s="206"/>
      <c r="D196" s="189"/>
      <c r="E196" s="189" t="s">
        <v>0</v>
      </c>
      <c r="F196" s="189" t="s">
        <v>0</v>
      </c>
      <c r="G196" s="189" t="s">
        <v>0</v>
      </c>
      <c r="H196" s="189"/>
      <c r="I196" s="189" t="s">
        <v>0</v>
      </c>
      <c r="J196" s="189" t="s">
        <v>0</v>
      </c>
      <c r="K196" s="189" t="s">
        <v>0</v>
      </c>
      <c r="L196" s="189" t="s">
        <v>0</v>
      </c>
      <c r="M196" s="189"/>
      <c r="N196" s="189" t="s">
        <v>0</v>
      </c>
      <c r="O196" s="189" t="s">
        <v>0</v>
      </c>
      <c r="P196" s="189" t="s">
        <v>0</v>
      </c>
      <c r="Q196" s="189" t="s">
        <v>0</v>
      </c>
      <c r="R196" s="189"/>
      <c r="S196" s="189" t="s">
        <v>0</v>
      </c>
      <c r="T196" s="189" t="s">
        <v>0</v>
      </c>
      <c r="U196" s="189" t="s">
        <v>0</v>
      </c>
      <c r="V196" s="189" t="s">
        <v>0</v>
      </c>
      <c r="W196" s="189"/>
      <c r="X196" s="189" t="s">
        <v>0</v>
      </c>
      <c r="Y196" s="189" t="s">
        <v>0</v>
      </c>
      <c r="Z196" s="189" t="s">
        <v>0</v>
      </c>
      <c r="AA196" s="189" t="s">
        <v>0</v>
      </c>
      <c r="AB196" s="189"/>
      <c r="AC196" s="189" t="s">
        <v>0</v>
      </c>
      <c r="AD196" s="189" t="s">
        <v>0</v>
      </c>
      <c r="AE196" s="189" t="s">
        <v>0</v>
      </c>
      <c r="AF196" s="189" t="s">
        <v>0</v>
      </c>
      <c r="AG196" s="189"/>
      <c r="AH196" s="189" t="s">
        <v>0</v>
      </c>
      <c r="AI196" s="189" t="s">
        <v>0</v>
      </c>
      <c r="AJ196" s="189" t="s">
        <v>0</v>
      </c>
      <c r="AK196" s="189" t="s">
        <v>0</v>
      </c>
      <c r="AL196" s="189"/>
      <c r="AM196" s="189" t="s">
        <v>0</v>
      </c>
      <c r="AN196" s="189" t="s">
        <v>0</v>
      </c>
      <c r="AO196" s="189" t="s">
        <v>0</v>
      </c>
      <c r="AP196" s="189" t="s">
        <v>0</v>
      </c>
      <c r="AQ196" s="189"/>
      <c r="AR196" s="189" t="s">
        <v>0</v>
      </c>
      <c r="AS196" s="189" t="s">
        <v>0</v>
      </c>
      <c r="AT196" s="189" t="s">
        <v>0</v>
      </c>
      <c r="AU196" s="189" t="s">
        <v>0</v>
      </c>
      <c r="AV196" s="189"/>
      <c r="AW196" s="189" t="s">
        <v>0</v>
      </c>
      <c r="AX196" s="189" t="s">
        <v>0</v>
      </c>
      <c r="AY196" s="189" t="s">
        <v>0</v>
      </c>
      <c r="AZ196" s="189" t="s">
        <v>0</v>
      </c>
      <c r="BA196" s="189"/>
      <c r="BB196" s="189" t="s">
        <v>0</v>
      </c>
      <c r="BC196" s="189" t="s">
        <v>0</v>
      </c>
      <c r="BD196" s="189" t="s">
        <v>0</v>
      </c>
      <c r="BE196" s="189" t="s">
        <v>0</v>
      </c>
      <c r="BF196" s="189"/>
      <c r="BG196" s="189" t="s">
        <v>0</v>
      </c>
      <c r="BH196" s="189" t="s">
        <v>0</v>
      </c>
      <c r="BI196" s="189" t="s">
        <v>0</v>
      </c>
      <c r="BJ196" s="189" t="s">
        <v>0</v>
      </c>
      <c r="BK196" s="189"/>
      <c r="BL196" s="189" t="s">
        <v>0</v>
      </c>
      <c r="BM196" s="189" t="s">
        <v>0</v>
      </c>
      <c r="BN196" s="189" t="s">
        <v>0</v>
      </c>
      <c r="BO196" s="189" t="s">
        <v>0</v>
      </c>
      <c r="BP196" s="189"/>
      <c r="BQ196" s="189" t="s">
        <v>0</v>
      </c>
      <c r="BR196" s="189" t="s">
        <v>0</v>
      </c>
      <c r="BS196" s="189" t="s">
        <v>0</v>
      </c>
      <c r="BT196" s="189" t="s">
        <v>0</v>
      </c>
      <c r="BU196" s="189"/>
      <c r="BV196" s="189" t="s">
        <v>0</v>
      </c>
      <c r="BW196" s="189" t="s">
        <v>0</v>
      </c>
      <c r="BX196" s="189" t="s">
        <v>0</v>
      </c>
      <c r="BY196" s="189" t="s">
        <v>0</v>
      </c>
      <c r="BZ196" s="189"/>
      <c r="CA196" s="189" t="s">
        <v>0</v>
      </c>
      <c r="CB196" s="189" t="s">
        <v>0</v>
      </c>
      <c r="CC196" s="189" t="s">
        <v>0</v>
      </c>
      <c r="CD196" s="189" t="s">
        <v>0</v>
      </c>
      <c r="CE196" s="189"/>
    </row>
    <row r="197" spans="2:83" ht="12.75">
      <c r="B197" s="186" t="s">
        <v>1</v>
      </c>
      <c r="C197" s="214"/>
      <c r="D197" s="171"/>
      <c r="E197" s="171">
        <f>+(E$16/D$16)-1</f>
        <v>3.2133450395083418E-2</v>
      </c>
      <c r="F197" s="171">
        <f>+(F$16/E$16)-1</f>
        <v>6.7029601905409963E-2</v>
      </c>
      <c r="G197" s="171">
        <f>+(G$16/F$16)-1</f>
        <v>5.0010629251700633E-2</v>
      </c>
      <c r="H197" s="232"/>
      <c r="I197" s="171">
        <f>+(I$16/G$16)-1</f>
        <v>-2.91542238194058E-2</v>
      </c>
      <c r="J197" s="171">
        <f>+(J$16/I$16)-1</f>
        <v>6.761899796673787E-2</v>
      </c>
      <c r="K197" s="171">
        <f>+(K$16/J$16)-1</f>
        <v>4.6830745189959888E-2</v>
      </c>
      <c r="L197" s="171">
        <f>+(L$16/K$16)-1</f>
        <v>5.6024630312077495E-2</v>
      </c>
      <c r="M197" s="232"/>
      <c r="N197" s="171">
        <f>+(N$16/L$16)-1</f>
        <v>4.510115734605491E-2</v>
      </c>
      <c r="O197" s="171">
        <f>+(O$16/N$16)-1</f>
        <v>6.8726488862589363E-2</v>
      </c>
      <c r="P197" s="171">
        <f>+(P$16/O$16)-1</f>
        <v>7.1860787027882234E-2</v>
      </c>
      <c r="Q197" s="171">
        <f>+(Q$16/P$16)-1</f>
        <v>8.209726219467206E-2</v>
      </c>
      <c r="R197" s="232"/>
      <c r="S197" s="171">
        <f>+(S$16/Q$16)-1</f>
        <v>1.8072083745354073E-2</v>
      </c>
      <c r="T197" s="171">
        <f>+(T$16/S$16)-1</f>
        <v>7.3919013966573965E-2</v>
      </c>
      <c r="U197" s="171">
        <f>+(U$16/T$16)-1</f>
        <v>6.1626746506985963E-2</v>
      </c>
      <c r="V197" s="171">
        <f>+(V$16/U$16)-1</f>
        <v>4.8413631022326653E-2</v>
      </c>
      <c r="W197" s="232"/>
      <c r="X197" s="171">
        <f>+(X$16/V$16)-1</f>
        <v>4.2675409101098349E-2</v>
      </c>
      <c r="Y197" s="171">
        <f>+(Y$16/X$16)-1</f>
        <v>4.2621805380129496E-2</v>
      </c>
      <c r="Z197" s="171">
        <f>+(Z$16/Y$16)-1</f>
        <v>3.6549217723019778E-2</v>
      </c>
      <c r="AA197" s="171">
        <f>+(AA$16/Z$16)-1</f>
        <v>2.1683451448464508E-2</v>
      </c>
      <c r="AB197" s="232"/>
      <c r="AC197" s="171">
        <f>+(AC$16/AA$16)-1</f>
        <v>5.8656022586218715E-3</v>
      </c>
      <c r="AD197" s="171">
        <f>+(AD$16/AC$16)-1</f>
        <v>5.7031552458381762E-2</v>
      </c>
      <c r="AE197" s="171">
        <f>+(AE$16/AD$16)-1</f>
        <v>8.4582808744420257E-2</v>
      </c>
      <c r="AF197" s="171">
        <f>+(AF$16/AE$16)-1</f>
        <v>4.4195863233431831E-2</v>
      </c>
      <c r="AG197" s="232"/>
      <c r="AH197" s="171">
        <f>+(AH$16/AF$16)-1</f>
        <v>1.5462667259570573E-2</v>
      </c>
      <c r="AI197" s="171">
        <f>+(AI$16/AH$16)-1</f>
        <v>6.198371782877854E-2</v>
      </c>
      <c r="AJ197" s="171">
        <f>+(AJ$16/AI$16)-1</f>
        <v>6.1064982287781344E-2</v>
      </c>
      <c r="AK197" s="171">
        <f>+(AK$16/AJ$16)-1</f>
        <v>3.5399480666301608E-2</v>
      </c>
      <c r="AL197" s="232"/>
      <c r="AM197" s="171">
        <f>+(AM$16/AK$16)-1</f>
        <v>1.8067047684039883E-2</v>
      </c>
      <c r="AN197" s="171">
        <f>+(AN$16/AM$16)-1</f>
        <v>6.314307738713687E-2</v>
      </c>
      <c r="AO197" s="171">
        <f>+(AO$16/AN$16)-1</f>
        <v>6.6091863434317943E-2</v>
      </c>
      <c r="AP197" s="171">
        <f>+(AP$16/AO$16)-1</f>
        <v>2.8816441191690689E-2</v>
      </c>
      <c r="AQ197" s="232"/>
      <c r="AR197" s="171">
        <f>+(AR$16/AP$16)-1</f>
        <v>4.2107381007128186E-3</v>
      </c>
      <c r="AS197" s="171">
        <f>+(AS$16/AR$16)-1</f>
        <v>3.0625241495771061E-2</v>
      </c>
      <c r="AT197" s="171">
        <f>+(AT$16/AS$16)-1</f>
        <v>3.8629767971451123E-2</v>
      </c>
      <c r="AU197" s="171">
        <f>+(AU$16/AT$16)-1</f>
        <v>1.6069733552587673E-2</v>
      </c>
      <c r="AV197" s="232"/>
      <c r="AW197" s="171">
        <f>+(AW$16/AU$16)-1</f>
        <v>2.065762292601403E-2</v>
      </c>
      <c r="AX197" s="171">
        <f>+(AX$16/AW$16)-1</f>
        <v>3.9202794858903545E-2</v>
      </c>
      <c r="AY197" s="171">
        <f>+(AY$16/AX$16)-1</f>
        <v>5.5190294248995242E-2</v>
      </c>
      <c r="AZ197" s="171">
        <f>+(AZ$16/AY$16)-1</f>
        <v>4.3392388991429609E-2</v>
      </c>
      <c r="BA197" s="232"/>
      <c r="BB197" s="171">
        <f>+(BB$16/AZ$16)-1</f>
        <v>3.7937173246800127E-2</v>
      </c>
      <c r="BC197" s="171">
        <f>+(BC$16/BB$16)-1</f>
        <v>5.8511273461500979E-2</v>
      </c>
      <c r="BD197" s="171">
        <f>+(BD$16/BC$16)-1</f>
        <v>4.8251956229681259E-2</v>
      </c>
      <c r="BE197" s="171">
        <f>+(BE$16/BD$16)-1</f>
        <v>3.4535386541961088E-2</v>
      </c>
      <c r="BF197" s="232"/>
      <c r="BG197" s="171">
        <f>+(BG$16/BE$16)-1</f>
        <v>3.0640036314117935E-3</v>
      </c>
      <c r="BH197" s="171">
        <f>+(BH$16/BG$16)-1</f>
        <v>6.5458008070294449E-2</v>
      </c>
      <c r="BI197" s="171">
        <f>+(BI$16/BH$16)-1</f>
        <v>4.3703710258293338E-2</v>
      </c>
      <c r="BJ197" s="171">
        <f>+(BJ$16/BI$16)-1</f>
        <v>1.9338702840186572E-2</v>
      </c>
      <c r="BK197" s="232"/>
      <c r="BL197" s="171">
        <f>+(BL$16/BJ$16)-1</f>
        <v>9.5066996032637796E-3</v>
      </c>
      <c r="BM197" s="171">
        <f>+(BM$16/BL$16)-1</f>
        <v>2.9091897770527453E-2</v>
      </c>
      <c r="BN197" s="171">
        <f>+(BN$16/BM$16)-1</f>
        <v>2.3345742764500965E-2</v>
      </c>
      <c r="BO197" s="171">
        <f>+(BO$16/BN$16)-1</f>
        <v>4.0165544002941589E-2</v>
      </c>
      <c r="BP197" s="232"/>
      <c r="BQ197" s="171">
        <f>+(BQ$16/BO$16)-1</f>
        <v>5.625963671919143E-3</v>
      </c>
      <c r="BR197" s="171">
        <f>+(BR$16/BQ$16)-1</f>
        <v>3.0672460602978235E-2</v>
      </c>
      <c r="BS197" s="171">
        <f>+(BS$16/BR$16)-1</f>
        <v>5.1457142027807601E-2</v>
      </c>
      <c r="BT197" s="171">
        <f>+(BT$16/BS$16)-1</f>
        <v>2.8613823803443905E-2</v>
      </c>
      <c r="BU197" s="232"/>
      <c r="BV197" s="171">
        <f>+(BV$16/BT$16)-1</f>
        <v>-2.2202289302943434E-2</v>
      </c>
      <c r="BW197" s="171">
        <f>+(BW$16/BV$16)-1</f>
        <v>2.1306911969747766E-2</v>
      </c>
      <c r="BX197" s="171">
        <f>+(BX$16/BW$16)-1</f>
        <v>3.4361532788385052E-2</v>
      </c>
      <c r="BY197" s="171">
        <f>+(BY$16/BX$16)-1</f>
        <v>2.942426855372493E-2</v>
      </c>
      <c r="BZ197" s="232"/>
      <c r="CA197" s="171">
        <f>+(CA$16/BY$16)-1</f>
        <v>-4.5177372703508745E-3</v>
      </c>
      <c r="CB197" s="171">
        <f>+(CB$16/CA$16)-1</f>
        <v>1.4253811539588046E-2</v>
      </c>
      <c r="CC197" s="171">
        <f>+(CC$16/CB$16)-1</f>
        <v>2.2257775081133246E-2</v>
      </c>
      <c r="CD197" s="171">
        <f>+(CD$16/CC$16)-1</f>
        <v>3.3064612068445243E-2</v>
      </c>
      <c r="CE197" s="232"/>
    </row>
    <row r="198" spans="2:83" ht="12.6" customHeight="1">
      <c r="B198" s="186"/>
      <c r="C198" s="215"/>
      <c r="D198" s="171"/>
      <c r="E198" s="171"/>
      <c r="F198" s="171"/>
      <c r="G198" s="171"/>
      <c r="H198" s="232"/>
      <c r="I198" s="171"/>
      <c r="J198" s="171"/>
      <c r="K198" s="171"/>
      <c r="L198" s="171"/>
      <c r="M198" s="232"/>
      <c r="N198" s="171"/>
      <c r="O198" s="171"/>
      <c r="P198" s="171"/>
      <c r="Q198" s="171"/>
      <c r="R198" s="232"/>
      <c r="S198" s="171"/>
      <c r="T198" s="171"/>
      <c r="U198" s="171"/>
      <c r="V198" s="171"/>
      <c r="W198" s="232"/>
      <c r="X198" s="171"/>
      <c r="Y198" s="171"/>
      <c r="Z198" s="171"/>
      <c r="AA198" s="171"/>
      <c r="AB198" s="232"/>
      <c r="AC198" s="171"/>
      <c r="AD198" s="171"/>
      <c r="AE198" s="171"/>
      <c r="AF198" s="171"/>
      <c r="AG198" s="232"/>
      <c r="AH198" s="171"/>
      <c r="AI198" s="171"/>
      <c r="AJ198" s="171"/>
      <c r="AK198" s="171"/>
      <c r="AL198" s="232"/>
      <c r="AM198" s="171"/>
      <c r="AN198" s="171"/>
      <c r="AO198" s="171"/>
      <c r="AP198" s="171"/>
      <c r="AQ198" s="232"/>
      <c r="AR198" s="171"/>
      <c r="AS198" s="171"/>
      <c r="AT198" s="171"/>
      <c r="AU198" s="171"/>
      <c r="AV198" s="232"/>
      <c r="AW198" s="171"/>
      <c r="AX198" s="171"/>
      <c r="AY198" s="171"/>
      <c r="AZ198" s="171"/>
      <c r="BA198" s="232"/>
      <c r="BB198" s="171"/>
      <c r="BC198" s="171"/>
      <c r="BD198" s="171"/>
      <c r="BE198" s="171"/>
      <c r="BF198" s="232"/>
      <c r="BG198" s="171"/>
      <c r="BH198" s="171"/>
      <c r="BI198" s="171"/>
      <c r="BJ198" s="171"/>
      <c r="BK198" s="232"/>
      <c r="BL198" s="171"/>
      <c r="BM198" s="171"/>
      <c r="BN198" s="171"/>
      <c r="BO198" s="171"/>
      <c r="BP198" s="232"/>
      <c r="BQ198" s="171"/>
      <c r="BR198" s="171"/>
      <c r="BS198" s="171"/>
      <c r="BT198" s="171"/>
      <c r="BU198" s="232"/>
      <c r="BV198" s="171"/>
      <c r="BW198" s="171"/>
      <c r="BX198" s="171"/>
      <c r="BY198" s="171"/>
      <c r="BZ198" s="232"/>
      <c r="CA198" s="171"/>
      <c r="CB198" s="171"/>
      <c r="CC198" s="171"/>
      <c r="CD198" s="171"/>
      <c r="CE198" s="232"/>
    </row>
    <row r="199" spans="2:83" ht="12.6" customHeight="1">
      <c r="B199" s="186"/>
      <c r="C199" s="215"/>
      <c r="D199" s="171"/>
      <c r="E199" s="171"/>
      <c r="F199" s="171"/>
      <c r="G199" s="171"/>
      <c r="H199" s="232"/>
      <c r="I199" s="171"/>
      <c r="J199" s="171"/>
      <c r="K199" s="171"/>
      <c r="L199" s="171"/>
      <c r="M199" s="232"/>
      <c r="N199" s="171"/>
      <c r="O199" s="171"/>
      <c r="P199" s="171"/>
      <c r="Q199" s="171"/>
      <c r="R199" s="232"/>
      <c r="S199" s="171"/>
      <c r="T199" s="171"/>
      <c r="U199" s="171"/>
      <c r="V199" s="171"/>
      <c r="W199" s="232"/>
      <c r="X199" s="171"/>
      <c r="Y199" s="171"/>
      <c r="Z199" s="171"/>
      <c r="AA199" s="171"/>
      <c r="AB199" s="232"/>
      <c r="AC199" s="171"/>
      <c r="AD199" s="171"/>
      <c r="AE199" s="171"/>
      <c r="AF199" s="171"/>
      <c r="AG199" s="232"/>
      <c r="AH199" s="171"/>
      <c r="AI199" s="171"/>
      <c r="AJ199" s="171"/>
      <c r="AK199" s="171"/>
      <c r="AL199" s="232"/>
      <c r="AM199" s="171"/>
      <c r="AN199" s="171"/>
      <c r="AO199" s="171"/>
      <c r="AP199" s="171"/>
      <c r="AQ199" s="232"/>
      <c r="AR199" s="171"/>
      <c r="AS199" s="171"/>
      <c r="AT199" s="171"/>
      <c r="AU199" s="171"/>
      <c r="AV199" s="232"/>
      <c r="AW199" s="171"/>
      <c r="AX199" s="171"/>
      <c r="AY199" s="171"/>
      <c r="AZ199" s="171"/>
      <c r="BA199" s="232"/>
      <c r="BB199" s="171"/>
      <c r="BC199" s="171"/>
      <c r="BD199" s="171"/>
      <c r="BE199" s="171"/>
      <c r="BF199" s="232"/>
      <c r="BG199" s="171"/>
      <c r="BH199" s="171"/>
      <c r="BI199" s="171"/>
      <c r="BJ199" s="171"/>
      <c r="BK199" s="232"/>
      <c r="BL199" s="171"/>
      <c r="BM199" s="171"/>
      <c r="BN199" s="171"/>
      <c r="BO199" s="171"/>
      <c r="BP199" s="232"/>
      <c r="BQ199" s="171"/>
      <c r="BR199" s="171"/>
      <c r="BS199" s="171"/>
      <c r="BT199" s="171"/>
      <c r="BU199" s="232"/>
      <c r="BV199" s="171"/>
      <c r="BW199" s="171"/>
      <c r="BX199" s="171"/>
      <c r="BY199" s="171"/>
      <c r="BZ199" s="232"/>
      <c r="CA199" s="171"/>
      <c r="CB199" s="171"/>
      <c r="CC199" s="171"/>
      <c r="CD199" s="171"/>
      <c r="CE199" s="232"/>
    </row>
    <row r="200" spans="2:83" ht="12.75">
      <c r="B200" s="186"/>
      <c r="C200" s="215"/>
      <c r="D200" s="171"/>
      <c r="E200" s="171"/>
      <c r="F200" s="171"/>
      <c r="G200" s="171"/>
      <c r="H200" s="232"/>
      <c r="I200" s="171"/>
      <c r="J200" s="171"/>
      <c r="K200" s="171"/>
      <c r="L200" s="171"/>
      <c r="M200" s="232"/>
      <c r="N200" s="171"/>
      <c r="O200" s="171"/>
      <c r="P200" s="171"/>
      <c r="Q200" s="171"/>
      <c r="R200" s="232"/>
      <c r="S200" s="171"/>
      <c r="T200" s="171"/>
      <c r="U200" s="171"/>
      <c r="V200" s="171"/>
      <c r="W200" s="232"/>
      <c r="X200" s="171"/>
      <c r="Y200" s="171"/>
      <c r="Z200" s="171"/>
      <c r="AA200" s="171"/>
      <c r="AB200" s="232"/>
      <c r="AC200" s="171"/>
      <c r="AD200" s="171"/>
      <c r="AE200" s="171"/>
      <c r="AF200" s="171"/>
      <c r="AG200" s="232"/>
      <c r="AH200" s="171"/>
      <c r="AI200" s="171"/>
      <c r="AJ200" s="171"/>
      <c r="AK200" s="171"/>
      <c r="AL200" s="232"/>
      <c r="AM200" s="171"/>
      <c r="AN200" s="171"/>
      <c r="AO200" s="171"/>
      <c r="AP200" s="171"/>
      <c r="AQ200" s="232"/>
      <c r="AR200" s="171"/>
      <c r="AS200" s="171"/>
      <c r="AT200" s="171"/>
      <c r="AU200" s="171"/>
      <c r="AV200" s="232"/>
      <c r="AW200" s="171"/>
      <c r="AX200" s="171"/>
      <c r="AY200" s="171"/>
      <c r="AZ200" s="171"/>
      <c r="BA200" s="232"/>
      <c r="BB200" s="171"/>
      <c r="BC200" s="171"/>
      <c r="BD200" s="171"/>
      <c r="BE200" s="171"/>
      <c r="BF200" s="232"/>
      <c r="BG200" s="171"/>
      <c r="BH200" s="171"/>
      <c r="BI200" s="171"/>
      <c r="BJ200" s="171"/>
      <c r="BK200" s="232"/>
      <c r="BL200" s="171"/>
      <c r="BM200" s="171"/>
      <c r="BN200" s="171"/>
      <c r="BO200" s="171"/>
      <c r="BP200" s="232"/>
      <c r="BQ200" s="171"/>
      <c r="BR200" s="171"/>
      <c r="BS200" s="171"/>
      <c r="BT200" s="171"/>
      <c r="BU200" s="232"/>
      <c r="BV200" s="171"/>
      <c r="BW200" s="171"/>
      <c r="BX200" s="171"/>
      <c r="BY200" s="171"/>
      <c r="BZ200" s="232"/>
      <c r="CA200" s="171"/>
      <c r="CB200" s="171"/>
      <c r="CC200" s="171"/>
      <c r="CD200" s="171"/>
      <c r="CE200" s="232"/>
    </row>
    <row r="201" spans="2:83" ht="13.15">
      <c r="B201" s="212" t="s">
        <v>5</v>
      </c>
      <c r="C201" s="212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6"/>
      <c r="P201" s="216"/>
      <c r="Q201" s="216"/>
      <c r="R201" s="216"/>
      <c r="S201" s="216"/>
      <c r="T201" s="216"/>
      <c r="U201" s="216"/>
      <c r="V201" s="216"/>
      <c r="W201" s="216"/>
      <c r="X201" s="216"/>
      <c r="Y201" s="216"/>
      <c r="Z201" s="216"/>
      <c r="AA201" s="216"/>
      <c r="AB201" s="216"/>
      <c r="AC201" s="216"/>
      <c r="AD201" s="216"/>
      <c r="AE201" s="216"/>
      <c r="AF201" s="216"/>
      <c r="AG201" s="216"/>
      <c r="AH201" s="216"/>
      <c r="AI201" s="216"/>
      <c r="AJ201" s="216"/>
      <c r="AK201" s="216"/>
      <c r="AL201" s="216"/>
      <c r="AM201" s="216"/>
      <c r="AN201" s="216"/>
      <c r="AO201" s="216"/>
      <c r="AP201" s="216"/>
      <c r="AQ201" s="216"/>
      <c r="AR201" s="216"/>
      <c r="AS201" s="216"/>
      <c r="AT201" s="216"/>
      <c r="AU201" s="216"/>
      <c r="AV201" s="216"/>
      <c r="AW201" s="216"/>
      <c r="AX201" s="216"/>
      <c r="AY201" s="216"/>
      <c r="AZ201" s="216"/>
      <c r="BA201" s="216"/>
      <c r="BB201" s="216"/>
      <c r="BC201" s="216"/>
      <c r="BD201" s="216"/>
      <c r="BE201" s="216"/>
      <c r="BF201" s="216"/>
      <c r="BG201" s="216"/>
      <c r="BH201" s="216"/>
      <c r="BI201" s="216"/>
      <c r="BJ201" s="216"/>
      <c r="BK201" s="216"/>
      <c r="BL201" s="216"/>
      <c r="BM201" s="216"/>
      <c r="BN201" s="216"/>
      <c r="BO201" s="216"/>
      <c r="BP201" s="216"/>
      <c r="BQ201" s="216"/>
      <c r="BR201" s="216"/>
      <c r="BS201" s="216"/>
      <c r="BT201" s="216"/>
      <c r="BU201" s="216"/>
      <c r="BV201" s="216"/>
      <c r="BW201" s="216"/>
      <c r="BX201" s="216"/>
      <c r="BY201" s="216"/>
      <c r="BZ201" s="216"/>
      <c r="CA201" s="216"/>
      <c r="CB201" s="216"/>
      <c r="CC201" s="216"/>
      <c r="CD201" s="216"/>
      <c r="CE201" s="216"/>
    </row>
    <row r="202" spans="2:83" ht="12.6" customHeight="1">
      <c r="B202" s="186" t="s">
        <v>16</v>
      </c>
      <c r="C202" s="206"/>
      <c r="D202" s="171"/>
      <c r="E202" s="171">
        <f>+(E$21/D$21)-1</f>
        <v>5.249343832020914E-3</v>
      </c>
      <c r="F202" s="171">
        <f>+(F$21/E$21)-1</f>
        <v>-1.4059048001606733E-2</v>
      </c>
      <c r="G202" s="171">
        <f>+(G$21/F$21)-1</f>
        <v>-4.624159706661235E-2</v>
      </c>
      <c r="H202" s="232"/>
      <c r="I202" s="171">
        <f>+(I$21/G$21)-1</f>
        <v>8.6928662964544934E-2</v>
      </c>
      <c r="J202" s="171">
        <f>+(J$21/I$21)-1</f>
        <v>-6.6810768323831704E-3</v>
      </c>
      <c r="K202" s="171">
        <f>+(K$21/J$21)-1</f>
        <v>-3.1058358061325619E-2</v>
      </c>
      <c r="L202" s="171">
        <f>+(L$21/K$21)-1</f>
        <v>0.14107799101674168</v>
      </c>
      <c r="M202" s="232"/>
      <c r="N202" s="171">
        <f>+(N$21/L$21)-1</f>
        <v>6.7990696010019613E-2</v>
      </c>
      <c r="O202" s="171">
        <f>+(O$21/N$21)-1</f>
        <v>-1.2564918746858944E-2</v>
      </c>
      <c r="P202" s="171">
        <f>+(P$21/O$21)-1</f>
        <v>-5.0899219545286201E-4</v>
      </c>
      <c r="Q202" s="171">
        <f>+(Q$21/P$21)-1</f>
        <v>3.4798845696825564E-2</v>
      </c>
      <c r="R202" s="232"/>
      <c r="S202" s="171">
        <f>+(S$21/Q$21)-1</f>
        <v>-1.6076115485564313E-2</v>
      </c>
      <c r="T202" s="171">
        <f>+(T$21/S$21)-1</f>
        <v>1.1503834611537256E-2</v>
      </c>
      <c r="U202" s="171">
        <f>+(U$21/T$21)-1</f>
        <v>3.3459700016482685E-2</v>
      </c>
      <c r="V202" s="171">
        <f>+(V$21/U$21)-1</f>
        <v>-1.4354066985645897E-2</v>
      </c>
      <c r="W202" s="232"/>
      <c r="X202" s="171">
        <f>+(X$21/V$21)-1</f>
        <v>5.8090614886731284E-2</v>
      </c>
      <c r="Y202" s="171">
        <f>+(Y$21/X$21)-1</f>
        <v>0.1699036549931181</v>
      </c>
      <c r="Z202" s="171">
        <f>+(Z$21/Y$21)-1</f>
        <v>2.2222222222222143E-2</v>
      </c>
      <c r="AA202" s="171">
        <f>+(AA$21/Z$21)-1</f>
        <v>-3.0690537084398839E-2</v>
      </c>
      <c r="AB202" s="232"/>
      <c r="AC202" s="171">
        <f>+(AC$21/AA$21)-1</f>
        <v>0.13482849604221636</v>
      </c>
      <c r="AD202" s="171">
        <f>+(AD$21/AC$21)-1</f>
        <v>4.8593350383631773E-2</v>
      </c>
      <c r="AE202" s="171">
        <f>+(AE$21/AD$21)-1</f>
        <v>4.0909090909091006E-2</v>
      </c>
      <c r="AF202" s="171">
        <f>+(AF$21/AE$21)-1</f>
        <v>4.8780487804878092E-2</v>
      </c>
      <c r="AG202" s="232"/>
      <c r="AH202" s="171">
        <f>+(AH$21/AF$21)-1</f>
        <v>8.3477201178023819E-2</v>
      </c>
      <c r="AI202" s="171">
        <f>+(AI$21/AH$21)-1</f>
        <v>4.1240978535945327E-2</v>
      </c>
      <c r="AJ202" s="171">
        <f>+(AJ$21/AI$21)-1</f>
        <v>-5.2479971194526964E-2</v>
      </c>
      <c r="AK202" s="171">
        <f>+(AK$21/AJ$21)-1</f>
        <v>0.11552346570397121</v>
      </c>
      <c r="AL202" s="232"/>
      <c r="AM202" s="171">
        <f>+(AM$21/AK$21)-1</f>
        <v>0.13081246806336222</v>
      </c>
      <c r="AN202" s="171">
        <f>+(AN$21/AM$21)-1</f>
        <v>4.7898779936737412E-2</v>
      </c>
      <c r="AO202" s="171">
        <f>+(AO$21/AN$21)-1</f>
        <v>9.2712376024148835E-3</v>
      </c>
      <c r="AP202" s="171">
        <f>+(AP$21/AO$21)-1</f>
        <v>3.3041372926013057E-2</v>
      </c>
      <c r="AQ202" s="232"/>
      <c r="AR202" s="171">
        <f>+(AR$21/AP$21)-1</f>
        <v>9.650513545185202E-4</v>
      </c>
      <c r="AS202" s="171">
        <f>+(AS$21/AR$21)-1</f>
        <v>1.7836237173748382E-2</v>
      </c>
      <c r="AT202" s="171">
        <f>+(AT$21/AS$21)-1</f>
        <v>-9.3369418132611681E-3</v>
      </c>
      <c r="AU202" s="171">
        <f>+(AU$21/AT$21)-1</f>
        <v>2.4655101762054432E-2</v>
      </c>
      <c r="AV202" s="232"/>
      <c r="AW202" s="171">
        <f>+(AW$21/AU$21)-1</f>
        <v>3.3726588015730252E-2</v>
      </c>
      <c r="AX202" s="171">
        <f>+(AX$21/AW$21)-1</f>
        <v>0.10890450706041643</v>
      </c>
      <c r="AY202" s="171">
        <f>+(AY$21/AX$21)-1</f>
        <v>7.9660425630887266E-2</v>
      </c>
      <c r="AZ202" s="171">
        <f>+(AZ$21/AY$21)-1</f>
        <v>2.7789745799224441E-2</v>
      </c>
      <c r="BA202" s="232"/>
      <c r="BB202" s="171">
        <f>+(BB$21/AZ$21)-1</f>
        <v>3.4112345420247436E-2</v>
      </c>
      <c r="BC202" s="171">
        <f>+(BC$21/BB$21)-1</f>
        <v>7.6767164935394039E-2</v>
      </c>
      <c r="BD202" s="171">
        <f>+(BD$21/BC$21)-1</f>
        <v>4.2682352941176394E-2</v>
      </c>
      <c r="BE202" s="171">
        <f>+(BE$21/BD$21)-1</f>
        <v>4.7253689578914182E-2</v>
      </c>
      <c r="BF202" s="232"/>
      <c r="BG202" s="171">
        <f>+(BG$21/BE$21)-1</f>
        <v>-1.6979831063609674E-2</v>
      </c>
      <c r="BH202" s="171">
        <f>+(BH$21/BG$21)-1</f>
        <v>-2.2533976326172711E-2</v>
      </c>
      <c r="BI202" s="171">
        <f>+(BI$21/BH$21)-1</f>
        <v>-9.4187298170075318E-3</v>
      </c>
      <c r="BJ202" s="171">
        <f>+(BJ$21/BI$21)-1</f>
        <v>1.3583265417005386E-4</v>
      </c>
      <c r="BK202" s="232"/>
      <c r="BL202" s="171">
        <f>+(BL$21/BJ$21)-1</f>
        <v>5.115668432251308E-3</v>
      </c>
      <c r="BM202" s="171">
        <f>+(BM$21/BL$21)-1</f>
        <v>-1.2070984595982326E-2</v>
      </c>
      <c r="BN202" s="171">
        <f>+(BN$21/BM$21)-1</f>
        <v>6.8523753077414096E-2</v>
      </c>
      <c r="BO202" s="171">
        <f>+(BO$21/BN$21)-1</f>
        <v>-1.7579041686222596E-2</v>
      </c>
      <c r="BP202" s="232"/>
      <c r="BQ202" s="171">
        <f>+(BQ$21/BO$21)-1</f>
        <v>4.4516829533116198E-2</v>
      </c>
      <c r="BR202" s="171">
        <f>+(BR$21/BQ$21)-1</f>
        <v>5.1392931392931329E-2</v>
      </c>
      <c r="BS202" s="171">
        <f>+(BS$21/BR$21)-1</f>
        <v>-6.1931503598829374E-2</v>
      </c>
      <c r="BT202" s="171">
        <f>+(BT$21/BS$21)-1</f>
        <v>1.8844856661045517E-2</v>
      </c>
      <c r="BU202" s="232"/>
      <c r="BV202" s="171">
        <f>+(BV$21/BT$21)-1</f>
        <v>4.0000000000000036E-2</v>
      </c>
      <c r="BW202" s="171">
        <f>+(BW$21/BV$21)-1</f>
        <v>7.0000000000000062E-2</v>
      </c>
      <c r="BX202" s="171">
        <f>+(BX$21/BW$21)-1</f>
        <v>6.0000000000000053E-2</v>
      </c>
      <c r="BY202" s="171">
        <f>+(BY$21/BX$21)-1</f>
        <v>5.0000000000000044E-2</v>
      </c>
      <c r="BZ202" s="232"/>
      <c r="CA202" s="171">
        <f>+(CA$21/BY$21)-1</f>
        <v>-3.0000000000000027E-2</v>
      </c>
      <c r="CB202" s="171">
        <f>+(CB$21/CA$21)-1</f>
        <v>0</v>
      </c>
      <c r="CC202" s="171">
        <f>+(CC$21/CB$21)-1</f>
        <v>-1.0000000000000009E-2</v>
      </c>
      <c r="CD202" s="171">
        <f>+(CD$21/CC$21)-1</f>
        <v>1.0000000000000009E-2</v>
      </c>
      <c r="CE202" s="232"/>
    </row>
    <row r="203" spans="2:83" ht="6.75" customHeight="1">
      <c r="B203" s="186"/>
      <c r="C203" s="206"/>
      <c r="D203" s="171"/>
      <c r="E203" s="171"/>
      <c r="F203" s="171"/>
      <c r="G203" s="171"/>
      <c r="H203" s="232"/>
      <c r="I203" s="171"/>
      <c r="J203" s="171"/>
      <c r="K203" s="171"/>
      <c r="L203" s="171"/>
      <c r="M203" s="232"/>
      <c r="N203" s="171"/>
      <c r="O203" s="171"/>
      <c r="P203" s="171"/>
      <c r="Q203" s="171"/>
      <c r="R203" s="232"/>
      <c r="S203" s="171"/>
      <c r="T203" s="171"/>
      <c r="U203" s="171"/>
      <c r="V203" s="171"/>
      <c r="W203" s="232"/>
      <c r="X203" s="171"/>
      <c r="Y203" s="171"/>
      <c r="Z203" s="171"/>
      <c r="AA203" s="171"/>
      <c r="AB203" s="232"/>
      <c r="AC203" s="171"/>
      <c r="AD203" s="171"/>
      <c r="AE203" s="171"/>
      <c r="AF203" s="171"/>
      <c r="AG203" s="232"/>
      <c r="AH203" s="171"/>
      <c r="AI203" s="171"/>
      <c r="AJ203" s="171"/>
      <c r="AK203" s="171"/>
      <c r="AL203" s="232"/>
      <c r="AM203" s="171"/>
      <c r="AN203" s="171"/>
      <c r="AO203" s="171"/>
      <c r="AP203" s="171"/>
      <c r="AQ203" s="232"/>
      <c r="AR203" s="171"/>
      <c r="AS203" s="171"/>
      <c r="AT203" s="171"/>
      <c r="AU203" s="171"/>
      <c r="AV203" s="232"/>
      <c r="AW203" s="171"/>
      <c r="AX203" s="171"/>
      <c r="AY203" s="171"/>
      <c r="AZ203" s="171"/>
      <c r="BA203" s="232"/>
      <c r="BB203" s="171"/>
      <c r="BC203" s="171"/>
      <c r="BD203" s="171"/>
      <c r="BE203" s="171"/>
      <c r="BF203" s="232"/>
      <c r="BG203" s="171"/>
      <c r="BH203" s="171"/>
      <c r="BI203" s="171"/>
      <c r="BJ203" s="171"/>
      <c r="BK203" s="232"/>
      <c r="BL203" s="171"/>
      <c r="BM203" s="171"/>
      <c r="BN203" s="171"/>
      <c r="BO203" s="171"/>
      <c r="BP203" s="232"/>
      <c r="BQ203" s="171"/>
      <c r="BR203" s="171"/>
      <c r="BS203" s="171"/>
      <c r="BT203" s="171"/>
      <c r="BU203" s="232"/>
      <c r="BV203" s="171"/>
      <c r="BW203" s="171"/>
      <c r="BX203" s="171"/>
      <c r="BY203" s="171"/>
      <c r="BZ203" s="232"/>
      <c r="CA203" s="171"/>
      <c r="CB203" s="171"/>
      <c r="CC203" s="171"/>
      <c r="CD203" s="171"/>
      <c r="CE203" s="232"/>
    </row>
    <row r="204" spans="2:83" ht="12.6" customHeight="1">
      <c r="B204" s="186"/>
      <c r="C204" s="206"/>
      <c r="D204" s="171"/>
      <c r="E204" s="171"/>
      <c r="F204" s="171"/>
      <c r="G204" s="171"/>
      <c r="H204" s="232"/>
      <c r="I204" s="171"/>
      <c r="J204" s="171"/>
      <c r="K204" s="171"/>
      <c r="L204" s="171"/>
      <c r="M204" s="232"/>
      <c r="N204" s="171"/>
      <c r="O204" s="171"/>
      <c r="P204" s="171"/>
      <c r="Q204" s="171"/>
      <c r="R204" s="232"/>
      <c r="S204" s="171"/>
      <c r="T204" s="171"/>
      <c r="U204" s="171"/>
      <c r="V204" s="171"/>
      <c r="W204" s="232"/>
      <c r="X204" s="171"/>
      <c r="Y204" s="171"/>
      <c r="Z204" s="171"/>
      <c r="AA204" s="171"/>
      <c r="AB204" s="232"/>
      <c r="AC204" s="171"/>
      <c r="AD204" s="171"/>
      <c r="AE204" s="171"/>
      <c r="AF204" s="171"/>
      <c r="AG204" s="232"/>
      <c r="AH204" s="171"/>
      <c r="AI204" s="171"/>
      <c r="AJ204" s="171"/>
      <c r="AK204" s="171"/>
      <c r="AL204" s="232"/>
      <c r="AM204" s="171"/>
      <c r="AN204" s="171"/>
      <c r="AO204" s="171"/>
      <c r="AP204" s="171"/>
      <c r="AQ204" s="232"/>
      <c r="AR204" s="171"/>
      <c r="AS204" s="171"/>
      <c r="AT204" s="171"/>
      <c r="AU204" s="171"/>
      <c r="AV204" s="232"/>
      <c r="AW204" s="171"/>
      <c r="AX204" s="171"/>
      <c r="AY204" s="171"/>
      <c r="AZ204" s="171"/>
      <c r="BA204" s="232"/>
      <c r="BB204" s="171"/>
      <c r="BC204" s="171"/>
      <c r="BD204" s="171"/>
      <c r="BE204" s="171"/>
      <c r="BF204" s="232"/>
      <c r="BG204" s="171"/>
      <c r="BH204" s="171"/>
      <c r="BI204" s="171"/>
      <c r="BJ204" s="171"/>
      <c r="BK204" s="232"/>
      <c r="BL204" s="171"/>
      <c r="BM204" s="171"/>
      <c r="BN204" s="171"/>
      <c r="BO204" s="171"/>
      <c r="BP204" s="232"/>
      <c r="BQ204" s="171"/>
      <c r="BR204" s="171"/>
      <c r="BS204" s="171"/>
      <c r="BT204" s="171"/>
      <c r="BU204" s="232"/>
      <c r="BV204" s="171"/>
      <c r="BW204" s="171"/>
      <c r="BX204" s="171"/>
      <c r="BY204" s="171"/>
      <c r="BZ204" s="232"/>
      <c r="CA204" s="171"/>
      <c r="CB204" s="171"/>
      <c r="CC204" s="171"/>
      <c r="CD204" s="171"/>
      <c r="CE204" s="232"/>
    </row>
    <row r="205" spans="2:83" ht="12.6" customHeight="1">
      <c r="B205" s="186" t="s">
        <v>118</v>
      </c>
      <c r="C205" s="206"/>
      <c r="D205" s="171"/>
      <c r="E205" s="171">
        <f>+(E$26/D$26)-1</f>
        <v>4.7419033933900678E-2</v>
      </c>
      <c r="F205" s="171">
        <f>+(F$26/E$26)-1</f>
        <v>-0.10848459265512878</v>
      </c>
      <c r="G205" s="171">
        <f>+(G$26/F$26)-1</f>
        <v>0.14737215909090873</v>
      </c>
      <c r="H205" s="232"/>
      <c r="I205" s="171">
        <f>+(I$26/G$26)-1</f>
        <v>1.9808108944599612E-2</v>
      </c>
      <c r="J205" s="171">
        <f>+(J$26/I$26)-1</f>
        <v>1.1836115326251839E-2</v>
      </c>
      <c r="K205" s="171">
        <f>+(K$26/J$26)-1</f>
        <v>4.5990801839632667E-3</v>
      </c>
      <c r="L205" s="171">
        <f>+(L$26/K$26)-1</f>
        <v>0.12898089171974569</v>
      </c>
      <c r="M205" s="232"/>
      <c r="N205" s="171">
        <f>+(N$26/L$26)-1</f>
        <v>5.068758815232699E-2</v>
      </c>
      <c r="O205" s="171">
        <f>+(O$26/N$26)-1</f>
        <v>-6.644852756103703E-2</v>
      </c>
      <c r="P205" s="171">
        <f>+(P$26/O$26)-1</f>
        <v>7.7289476049249295E-3</v>
      </c>
      <c r="Q205" s="171">
        <f>+(Q$26/P$26)-1</f>
        <v>1.5160973869615679E-2</v>
      </c>
      <c r="R205" s="232"/>
      <c r="S205" s="171">
        <f>+(S$26/Q$26)-1</f>
        <v>-6.5975577615742798E-2</v>
      </c>
      <c r="T205" s="171">
        <f>+(T$26/S$26)-1</f>
        <v>0.10948081264108356</v>
      </c>
      <c r="U205" s="171">
        <f>+(U$26/T$26)-1</f>
        <v>-4.4845710410308603E-2</v>
      </c>
      <c r="V205" s="171">
        <f>+(V$26/U$26)-1</f>
        <v>6.5678530220999454E-2</v>
      </c>
      <c r="W205" s="232"/>
      <c r="X205" s="171">
        <f>+(X$26/V$26)-1</f>
        <v>5.6383776130590535E-2</v>
      </c>
      <c r="Y205" s="171">
        <f>+(Y$26/X$26)-1</f>
        <v>2.9801324503311299E-2</v>
      </c>
      <c r="Z205" s="171">
        <f>+(Z$26/Y$26)-1</f>
        <v>2.733118971061077E-2</v>
      </c>
      <c r="AA205" s="171">
        <f>+(AA$26/Z$26)-1</f>
        <v>3.8452939861390645E-2</v>
      </c>
      <c r="AB205" s="232"/>
      <c r="AC205" s="171">
        <f>+(AC$26/AA$26)-1</f>
        <v>7.1402942231790556E-2</v>
      </c>
      <c r="AD205" s="171">
        <f>+(AD$26/AC$26)-1</f>
        <v>-4.5277963831212298E-2</v>
      </c>
      <c r="AE205" s="171">
        <f>+(AE$26/AD$26)-1</f>
        <v>-7.0155745755573484E-4</v>
      </c>
      <c r="AF205" s="171">
        <f>+(AF$26/AE$26)-1</f>
        <v>9.4706543105869123E-2</v>
      </c>
      <c r="AG205" s="232"/>
      <c r="AH205" s="171">
        <f>+(AH$26/AF$26)-1</f>
        <v>-6.387481562239461E-2</v>
      </c>
      <c r="AI205" s="171">
        <f>+(AI$26/AH$26)-1</f>
        <v>0.11694183736384178</v>
      </c>
      <c r="AJ205" s="171">
        <f>+(AJ$26/AI$26)-1</f>
        <v>-0.12131992149165849</v>
      </c>
      <c r="AK205" s="171">
        <f>+(AK$26/AJ$26)-1</f>
        <v>0.2815859276839312</v>
      </c>
      <c r="AL205" s="232"/>
      <c r="AM205" s="171">
        <f>+(AM$26/AK$26)-1</f>
        <v>-0.11508714596949887</v>
      </c>
      <c r="AN205" s="171">
        <f>+(AN$26/AM$26)-1</f>
        <v>-9.1709238628669976E-3</v>
      </c>
      <c r="AO205" s="171">
        <f>+(AO$26/AN$26)-1</f>
        <v>-3.4041495837992319E-2</v>
      </c>
      <c r="AP205" s="171">
        <f>+(AP$26/AO$26)-1</f>
        <v>0.15427652733118968</v>
      </c>
      <c r="AQ205" s="232"/>
      <c r="AR205" s="171">
        <f>+(AR$26/AP$26)-1</f>
        <v>-7.1257451668616634E-2</v>
      </c>
      <c r="AS205" s="171">
        <f>+(AS$26/AR$26)-1</f>
        <v>-0.14397120575884825</v>
      </c>
      <c r="AT205" s="171">
        <f>+(AT$26/AS$26)-1</f>
        <v>3.9453398738612533E-2</v>
      </c>
      <c r="AU205" s="171">
        <f>+(AU$26/AT$26)-1</f>
        <v>0.10618216139688541</v>
      </c>
      <c r="AV205" s="232"/>
      <c r="AW205" s="171">
        <f>+(AW$26/AU$26)-1</f>
        <v>-2.8644563627499009E-3</v>
      </c>
      <c r="AX205" s="171">
        <f>+(AX$26/AW$26)-1</f>
        <v>1.9742069555650721E-2</v>
      </c>
      <c r="AY205" s="171">
        <f>+(AY$26/AX$26)-1</f>
        <v>1.4564852553344609E-2</v>
      </c>
      <c r="AZ205" s="171">
        <f>+(AZ$26/AY$26)-1</f>
        <v>0.19288710344420168</v>
      </c>
      <c r="BA205" s="232"/>
      <c r="BB205" s="171">
        <f>+(BB$26/AZ$26)-1</f>
        <v>-0.10306061806656097</v>
      </c>
      <c r="BC205" s="171">
        <f>+(BC$26/BB$26)-1</f>
        <v>0.17828943735851133</v>
      </c>
      <c r="BD205" s="171">
        <f>+(BD$26/BC$26)-1</f>
        <v>5.6794751640112384E-2</v>
      </c>
      <c r="BE205" s="171">
        <f>+(BE$26/BD$26)-1</f>
        <v>0.12163001064207157</v>
      </c>
      <c r="BF205" s="232"/>
      <c r="BG205" s="171">
        <f>+(BG$26/BE$26)-1</f>
        <v>-8.3850563352441232E-2</v>
      </c>
      <c r="BH205" s="171">
        <f>+(BH$26/BG$26)-1</f>
        <v>7.3358073703289062E-3</v>
      </c>
      <c r="BI205" s="171">
        <f>+(BI$26/BH$26)-1</f>
        <v>5.6031528444139722E-2</v>
      </c>
      <c r="BJ205" s="171">
        <f>+(BJ$26/BI$26)-1</f>
        <v>0.14745253934772018</v>
      </c>
      <c r="BK205" s="232"/>
      <c r="BL205" s="171">
        <f>+(BL$26/BJ$26)-1</f>
        <v>-9.2551348676070289E-2</v>
      </c>
      <c r="BM205" s="171">
        <f>+(BM$26/BL$26)-1</f>
        <v>0.11083408001869954</v>
      </c>
      <c r="BN205" s="171">
        <f>+(BN$26/BM$26)-1</f>
        <v>1.8341867152977587E-2</v>
      </c>
      <c r="BO205" s="171">
        <f>+(BO$26/BN$26)-1</f>
        <v>4.6699039156937738E-2</v>
      </c>
      <c r="BP205" s="232"/>
      <c r="BQ205" s="171">
        <f>+(BQ$26/BO$26)-1</f>
        <v>-3.0697858059421601E-2</v>
      </c>
      <c r="BR205" s="171">
        <f>+(BR$26/BQ$26)-1</f>
        <v>0.11089613034623214</v>
      </c>
      <c r="BS205" s="171">
        <f>+(BS$26/BR$26)-1</f>
        <v>-2.8630794145506733E-2</v>
      </c>
      <c r="BT205" s="171">
        <f>+(BT$26/BS$26)-1</f>
        <v>0.12365523749606799</v>
      </c>
      <c r="BU205" s="232"/>
      <c r="BV205" s="171">
        <f>+(BV$26/BT$26)-1</f>
        <v>1.0000000000000009E-2</v>
      </c>
      <c r="BW205" s="171">
        <f>+(BW$26/BV$26)-1</f>
        <v>5.0000000000000044E-2</v>
      </c>
      <c r="BX205" s="171">
        <f>+(BX$26/BW$26)-1</f>
        <v>2.0000000000000018E-2</v>
      </c>
      <c r="BY205" s="171">
        <f>+(BY$26/BX$26)-1</f>
        <v>7.0000000000000062E-2</v>
      </c>
      <c r="BZ205" s="232"/>
      <c r="CA205" s="171">
        <f>+(CA$26/BY$26)-1</f>
        <v>-4.0000000000000036E-2</v>
      </c>
      <c r="CB205" s="171">
        <f>+(CB$26/CA$26)-1</f>
        <v>2.0000000000000018E-2</v>
      </c>
      <c r="CC205" s="171">
        <f>+(CC$26/CB$26)-1</f>
        <v>1.0000000000000009E-2</v>
      </c>
      <c r="CD205" s="171">
        <f>+(CD$26/CC$26)-1</f>
        <v>2.0000000000000018E-2</v>
      </c>
      <c r="CE205" s="232"/>
    </row>
    <row r="206" spans="2:83" ht="7.5" customHeight="1">
      <c r="B206" s="186"/>
      <c r="C206" s="206"/>
      <c r="D206" s="171"/>
      <c r="E206" s="171"/>
      <c r="F206" s="171"/>
      <c r="G206" s="171"/>
      <c r="H206" s="232"/>
      <c r="I206" s="171"/>
      <c r="J206" s="171"/>
      <c r="K206" s="171"/>
      <c r="L206" s="171"/>
      <c r="M206" s="232"/>
      <c r="N206" s="171"/>
      <c r="O206" s="171"/>
      <c r="P206" s="171"/>
      <c r="Q206" s="171"/>
      <c r="R206" s="232"/>
      <c r="S206" s="171"/>
      <c r="T206" s="171"/>
      <c r="U206" s="171"/>
      <c r="V206" s="171"/>
      <c r="W206" s="232"/>
      <c r="X206" s="171"/>
      <c r="Y206" s="171"/>
      <c r="Z206" s="171"/>
      <c r="AA206" s="171"/>
      <c r="AB206" s="232"/>
      <c r="AC206" s="171"/>
      <c r="AD206" s="171"/>
      <c r="AE206" s="171"/>
      <c r="AF206" s="171"/>
      <c r="AG206" s="232"/>
      <c r="AH206" s="171"/>
      <c r="AI206" s="171"/>
      <c r="AJ206" s="171"/>
      <c r="AK206" s="171"/>
      <c r="AL206" s="232"/>
      <c r="AM206" s="171"/>
      <c r="AN206" s="171"/>
      <c r="AO206" s="171"/>
      <c r="AP206" s="171"/>
      <c r="AQ206" s="232"/>
      <c r="AR206" s="171"/>
      <c r="AS206" s="171"/>
      <c r="AT206" s="171"/>
      <c r="AU206" s="171"/>
      <c r="AV206" s="232"/>
      <c r="AW206" s="171"/>
      <c r="AX206" s="171"/>
      <c r="AY206" s="171"/>
      <c r="AZ206" s="171"/>
      <c r="BA206" s="232"/>
      <c r="BB206" s="171"/>
      <c r="BC206" s="171"/>
      <c r="BD206" s="171"/>
      <c r="BE206" s="171"/>
      <c r="BF206" s="232"/>
      <c r="BG206" s="171"/>
      <c r="BH206" s="171"/>
      <c r="BI206" s="171"/>
      <c r="BJ206" s="171"/>
      <c r="BK206" s="232"/>
      <c r="BL206" s="171"/>
      <c r="BM206" s="171"/>
      <c r="BN206" s="171"/>
      <c r="BO206" s="171"/>
      <c r="BP206" s="232"/>
      <c r="BQ206" s="171"/>
      <c r="BR206" s="171"/>
      <c r="BS206" s="171"/>
      <c r="BT206" s="171"/>
      <c r="BU206" s="232"/>
      <c r="BV206" s="171"/>
      <c r="BW206" s="171"/>
      <c r="BX206" s="171"/>
      <c r="BY206" s="171"/>
      <c r="BZ206" s="232"/>
      <c r="CA206" s="171"/>
      <c r="CB206" s="171"/>
      <c r="CC206" s="171"/>
      <c r="CD206" s="171"/>
      <c r="CE206" s="232"/>
    </row>
    <row r="207" spans="2:83" ht="12.75">
      <c r="B207" s="186"/>
      <c r="C207" s="218"/>
      <c r="D207" s="171"/>
      <c r="E207" s="171"/>
      <c r="F207" s="171"/>
      <c r="G207" s="171"/>
      <c r="H207" s="232"/>
      <c r="I207" s="171"/>
      <c r="J207" s="171"/>
      <c r="K207" s="171"/>
      <c r="L207" s="171"/>
      <c r="M207" s="232"/>
      <c r="N207" s="171"/>
      <c r="O207" s="171"/>
      <c r="P207" s="171"/>
      <c r="Q207" s="171"/>
      <c r="R207" s="232"/>
      <c r="S207" s="171"/>
      <c r="T207" s="171"/>
      <c r="U207" s="171"/>
      <c r="V207" s="171"/>
      <c r="W207" s="232"/>
      <c r="X207" s="171"/>
      <c r="Y207" s="171"/>
      <c r="Z207" s="171"/>
      <c r="AA207" s="171"/>
      <c r="AB207" s="232"/>
      <c r="AC207" s="171"/>
      <c r="AD207" s="171"/>
      <c r="AE207" s="171"/>
      <c r="AF207" s="171"/>
      <c r="AG207" s="232"/>
      <c r="AH207" s="171"/>
      <c r="AI207" s="171"/>
      <c r="AJ207" s="171"/>
      <c r="AK207" s="171"/>
      <c r="AL207" s="232"/>
      <c r="AM207" s="171"/>
      <c r="AN207" s="171"/>
      <c r="AO207" s="171"/>
      <c r="AP207" s="171"/>
      <c r="AQ207" s="232"/>
      <c r="AR207" s="171"/>
      <c r="AS207" s="171"/>
      <c r="AT207" s="171"/>
      <c r="AU207" s="171"/>
      <c r="AV207" s="232"/>
      <c r="AW207" s="171"/>
      <c r="AX207" s="171"/>
      <c r="AY207" s="171"/>
      <c r="AZ207" s="171"/>
      <c r="BA207" s="232"/>
      <c r="BB207" s="171"/>
      <c r="BC207" s="171"/>
      <c r="BD207" s="171"/>
      <c r="BE207" s="171"/>
      <c r="BF207" s="232"/>
      <c r="BG207" s="171"/>
      <c r="BH207" s="171"/>
      <c r="BI207" s="171"/>
      <c r="BJ207" s="171"/>
      <c r="BK207" s="232"/>
      <c r="BL207" s="171"/>
      <c r="BM207" s="171"/>
      <c r="BN207" s="171"/>
      <c r="BO207" s="171"/>
      <c r="BP207" s="232"/>
      <c r="BQ207" s="171"/>
      <c r="BR207" s="171"/>
      <c r="BS207" s="171"/>
      <c r="BT207" s="171"/>
      <c r="BU207" s="232"/>
      <c r="BV207" s="171"/>
      <c r="BW207" s="171"/>
      <c r="BX207" s="171"/>
      <c r="BY207" s="171"/>
      <c r="BZ207" s="232"/>
      <c r="CA207" s="171"/>
      <c r="CB207" s="171"/>
      <c r="CC207" s="171"/>
      <c r="CD207" s="171"/>
      <c r="CE207" s="232"/>
    </row>
    <row r="208" spans="2:83" ht="12.75">
      <c r="B208" s="186" t="s">
        <v>119</v>
      </c>
      <c r="C208" s="206"/>
      <c r="D208" s="171"/>
      <c r="E208" s="171">
        <f>+(E$31/D$31)-1</f>
        <v>-1.0240252067743261E-2</v>
      </c>
      <c r="F208" s="171">
        <f>+(F$31/E$31)-1</f>
        <v>7.8790290489454851E-2</v>
      </c>
      <c r="G208" s="171">
        <f>+(G$31/F$31)-1</f>
        <v>6.4182958317964056E-2</v>
      </c>
      <c r="H208" s="232"/>
      <c r="I208" s="171">
        <f>+(I$31/G$31)-1</f>
        <v>0.22391681109185413</v>
      </c>
      <c r="J208" s="171">
        <f>+(J$31/I$31)-1</f>
        <v>-5.9756442934012943E-2</v>
      </c>
      <c r="K208" s="171">
        <f>+(K$31/J$31)-1</f>
        <v>1.6566265060240948E-2</v>
      </c>
      <c r="L208" s="171">
        <f>+(L$31/K$31)-1</f>
        <v>0.12088888888888882</v>
      </c>
      <c r="M208" s="232"/>
      <c r="N208" s="171">
        <f>+(N$31/L$31)-1</f>
        <v>3.2513877874702724E-2</v>
      </c>
      <c r="O208" s="171">
        <f>+(O$31/N$31)-1</f>
        <v>2.2529441884280743E-2</v>
      </c>
      <c r="P208" s="171">
        <f>+(P$31/O$31)-1</f>
        <v>7.5112669003485344E-4</v>
      </c>
      <c r="Q208" s="171">
        <f>+(Q$31/P$31)-1</f>
        <v>4.7785839379534734E-2</v>
      </c>
      <c r="R208" s="232"/>
      <c r="S208" s="171">
        <f>+(S$31/Q$31)-1</f>
        <v>5.8261700095511015E-2</v>
      </c>
      <c r="T208" s="171">
        <f>+(T$31/S$31)-1</f>
        <v>1.6922382671480163E-2</v>
      </c>
      <c r="U208" s="171">
        <f>+(U$31/T$31)-1</f>
        <v>0.15464832482804525</v>
      </c>
      <c r="V208" s="171">
        <f>+(V$31/U$31)-1</f>
        <v>-4.1314373558800743E-2</v>
      </c>
      <c r="W208" s="232"/>
      <c r="X208" s="171">
        <f>+(X$31/V$31)-1</f>
        <v>0.14131088394467817</v>
      </c>
      <c r="Y208" s="171">
        <f>+(Y$31/X$31)-1</f>
        <v>0.11257463997190031</v>
      </c>
      <c r="Z208" s="171">
        <f>+(Z$31/Y$31)-1</f>
        <v>-7.0876085240726083E-2</v>
      </c>
      <c r="AA208" s="171">
        <f>+(AA$31/Z$31)-1</f>
        <v>-2.5823989126741442E-2</v>
      </c>
      <c r="AB208" s="232"/>
      <c r="AC208" s="171">
        <f>+(AC$31/AA$31)-1</f>
        <v>1.2905476107429426E-2</v>
      </c>
      <c r="AD208" s="171">
        <f>+(AD$31/AC$31)-1</f>
        <v>-0.14686639118457301</v>
      </c>
      <c r="AE208" s="171">
        <f>+(AE$31/AD$31)-1</f>
        <v>2.3007063572149322E-2</v>
      </c>
      <c r="AF208" s="171">
        <f>+(AF$31/AE$31)-1</f>
        <v>6.5101597948313383E-2</v>
      </c>
      <c r="AG208" s="232"/>
      <c r="AH208" s="171">
        <f>+(AH$31/AF$31)-1</f>
        <v>0.2576403037599555</v>
      </c>
      <c r="AI208" s="171">
        <f>+(AI$31/AH$31)-1</f>
        <v>-0.17923416789396174</v>
      </c>
      <c r="AJ208" s="171">
        <f>+(AJ$31/AI$31)-1</f>
        <v>7.7875471020994125E-2</v>
      </c>
      <c r="AK208" s="171">
        <f>+(AK$31/AJ$31)-1</f>
        <v>-5.2938238721491615E-2</v>
      </c>
      <c r="AL208" s="232"/>
      <c r="AM208" s="171">
        <f>+(AM$31/AK$31)-1</f>
        <v>4.3944454209878803E-2</v>
      </c>
      <c r="AN208" s="171">
        <f>+(AN$31/AM$31)-1</f>
        <v>7.8969523488802817E-2</v>
      </c>
      <c r="AO208" s="171">
        <f>+(AO$31/AN$31)-1</f>
        <v>-0.12765293383270915</v>
      </c>
      <c r="AP208" s="171">
        <f>+(AP$31/AO$31)-1</f>
        <v>0.13309481216457963</v>
      </c>
      <c r="AQ208" s="232"/>
      <c r="AR208" s="171">
        <f>+(AR$31/AP$31)-1</f>
        <v>6.37827597095042E-2</v>
      </c>
      <c r="AS208" s="171">
        <f>+(AS$31/AR$31)-1</f>
        <v>-3.6064113980409651E-2</v>
      </c>
      <c r="AT208" s="171">
        <f>+(AT$31/AS$31)-1</f>
        <v>6.6666666666666652E-2</v>
      </c>
      <c r="AU208" s="171">
        <f>+(AU$31/AT$31)-1</f>
        <v>0.21665704387990758</v>
      </c>
      <c r="AV208" s="232"/>
      <c r="AW208" s="171">
        <f>+(AW$31/AU$31)-1</f>
        <v>1.5422944596037436E-2</v>
      </c>
      <c r="AX208" s="171">
        <f>+(AX$31/AW$31)-1</f>
        <v>-0.16240214978385326</v>
      </c>
      <c r="AY208" s="171">
        <f>+(AY$31/AX$31)-1</f>
        <v>-9.8758543729948411E-2</v>
      </c>
      <c r="AZ208" s="171">
        <f>+(AZ$31/AY$31)-1</f>
        <v>0.13929732239591397</v>
      </c>
      <c r="BA208" s="232"/>
      <c r="BB208" s="171">
        <f>+(BB$31/AZ$31)-1</f>
        <v>-1.0052981931802707E-2</v>
      </c>
      <c r="BC208" s="171">
        <f>+(BC$31/BB$31)-1</f>
        <v>4.7344586249485454E-2</v>
      </c>
      <c r="BD208" s="171">
        <f>+(BD$31/BC$31)-1</f>
        <v>0.24764150943396235</v>
      </c>
      <c r="BE208" s="171">
        <f>+(BE$31/BD$31)-1</f>
        <v>3.5496744381432466E-2</v>
      </c>
      <c r="BF208" s="232"/>
      <c r="BG208" s="171">
        <f>+(BG$31/BE$31)-1</f>
        <v>-0.17839756592292089</v>
      </c>
      <c r="BH208" s="171">
        <f>+(BH$31/BG$31)-1</f>
        <v>-4.1229477842241735E-2</v>
      </c>
      <c r="BI208" s="171">
        <f>+(BI$31/BH$31)-1</f>
        <v>7.1584910518861955E-2</v>
      </c>
      <c r="BJ208" s="171">
        <f>+(BJ$31/BI$31)-1</f>
        <v>9.287516520485406E-2</v>
      </c>
      <c r="BK208" s="232"/>
      <c r="BL208" s="171">
        <f>+(BL$31/BJ$31)-1</f>
        <v>-1.7260334212840789E-2</v>
      </c>
      <c r="BM208" s="171">
        <f>+(BM$31/BL$31)-1</f>
        <v>-4.5530820002237404E-2</v>
      </c>
      <c r="BN208" s="171">
        <f>+(BN$31/BM$31)-1</f>
        <v>9.4116268166900996E-2</v>
      </c>
      <c r="BO208" s="171">
        <f>+(BO$31/BN$31)-1</f>
        <v>-5.666845206213178E-2</v>
      </c>
      <c r="BP208" s="232"/>
      <c r="BQ208" s="171">
        <f>+(BQ$31/BO$31)-1</f>
        <v>1.9532137179196107E-2</v>
      </c>
      <c r="BR208" s="171">
        <f>+(BR$31/BQ$31)-1</f>
        <v>8.0307418133214625E-2</v>
      </c>
      <c r="BS208" s="171">
        <f>+(BS$31/BR$31)-1</f>
        <v>-3.6601711516651148E-2</v>
      </c>
      <c r="BT208" s="171">
        <f>+(BT$31/BS$31)-1</f>
        <v>-3.4032534246575374E-2</v>
      </c>
      <c r="BU208" s="232"/>
      <c r="BV208" s="171">
        <f>+(BV$31/BT$31)-1</f>
        <v>5.0000000000000044E-2</v>
      </c>
      <c r="BW208" s="171">
        <f>+(BW$31/BV$31)-1</f>
        <v>4.0000000000000036E-2</v>
      </c>
      <c r="BX208" s="171">
        <f>+(BX$31/BW$31)-1</f>
        <v>5.0000000000000044E-2</v>
      </c>
      <c r="BY208" s="171">
        <f>+(BY$31/BX$31)-1</f>
        <v>4.0000000000000036E-2</v>
      </c>
      <c r="BZ208" s="232"/>
      <c r="CA208" s="171">
        <f>+(CA$31/BY$31)-1</f>
        <v>-3.0000000000000138E-2</v>
      </c>
      <c r="CB208" s="171">
        <f>+(CB$31/CA$31)-1</f>
        <v>-2.5000000000000022E-2</v>
      </c>
      <c r="CC208" s="171">
        <f>+(CC$31/CB$31)-1</f>
        <v>1.0000000000000009E-2</v>
      </c>
      <c r="CD208" s="171">
        <f>+(CD$31/CC$31)-1</f>
        <v>1.0000000000000009E-2</v>
      </c>
      <c r="CE208" s="232"/>
    </row>
    <row r="209" spans="2:83" ht="12.6" customHeight="1">
      <c r="B209" s="186"/>
      <c r="C209" s="206"/>
      <c r="D209" s="171"/>
      <c r="E209" s="171"/>
      <c r="F209" s="171"/>
      <c r="G209" s="171"/>
      <c r="H209" s="232"/>
      <c r="I209" s="171"/>
      <c r="J209" s="171"/>
      <c r="K209" s="171"/>
      <c r="L209" s="171"/>
      <c r="M209" s="232"/>
      <c r="N209" s="171"/>
      <c r="O209" s="171"/>
      <c r="P209" s="171"/>
      <c r="Q209" s="171"/>
      <c r="R209" s="232"/>
      <c r="S209" s="171"/>
      <c r="T209" s="171"/>
      <c r="U209" s="171"/>
      <c r="V209" s="171"/>
      <c r="W209" s="232"/>
      <c r="X209" s="171"/>
      <c r="Y209" s="171"/>
      <c r="Z209" s="171"/>
      <c r="AA209" s="171"/>
      <c r="AB209" s="232"/>
      <c r="AC209" s="171"/>
      <c r="AD209" s="171"/>
      <c r="AE209" s="171"/>
      <c r="AF209" s="171"/>
      <c r="AG209" s="232"/>
      <c r="AH209" s="171"/>
      <c r="AI209" s="171"/>
      <c r="AJ209" s="171"/>
      <c r="AK209" s="171"/>
      <c r="AL209" s="232"/>
      <c r="AM209" s="171"/>
      <c r="AN209" s="171"/>
      <c r="AO209" s="171"/>
      <c r="AP209" s="171"/>
      <c r="AQ209" s="232"/>
      <c r="AR209" s="171"/>
      <c r="AS209" s="171"/>
      <c r="AT209" s="171"/>
      <c r="AU209" s="171"/>
      <c r="AV209" s="232"/>
      <c r="AW209" s="171"/>
      <c r="AX209" s="171"/>
      <c r="AY209" s="171"/>
      <c r="AZ209" s="171"/>
      <c r="BA209" s="232"/>
      <c r="BB209" s="171"/>
      <c r="BC209" s="171"/>
      <c r="BD209" s="171"/>
      <c r="BE209" s="171"/>
      <c r="BF209" s="232"/>
      <c r="BG209" s="171"/>
      <c r="BH209" s="171"/>
      <c r="BI209" s="171"/>
      <c r="BJ209" s="171"/>
      <c r="BK209" s="232"/>
      <c r="BL209" s="171"/>
      <c r="BM209" s="171"/>
      <c r="BN209" s="171"/>
      <c r="BO209" s="171"/>
      <c r="BP209" s="232"/>
      <c r="BQ209" s="171"/>
      <c r="BR209" s="171"/>
      <c r="BS209" s="171"/>
      <c r="BT209" s="171"/>
      <c r="BU209" s="232"/>
      <c r="BV209" s="171"/>
      <c r="BW209" s="171"/>
      <c r="BX209" s="171"/>
      <c r="BY209" s="171"/>
      <c r="BZ209" s="232"/>
      <c r="CA209" s="171"/>
      <c r="CB209" s="171"/>
      <c r="CC209" s="171"/>
      <c r="CD209" s="171"/>
      <c r="CE209" s="232"/>
    </row>
    <row r="210" spans="2:83" ht="6" customHeight="1">
      <c r="B210" s="186"/>
      <c r="C210" s="206"/>
      <c r="D210" s="171"/>
      <c r="E210" s="171"/>
      <c r="F210" s="171"/>
      <c r="G210" s="171"/>
      <c r="H210" s="232"/>
      <c r="I210" s="171"/>
      <c r="J210" s="171"/>
      <c r="K210" s="171"/>
      <c r="L210" s="171"/>
      <c r="M210" s="232"/>
      <c r="N210" s="171"/>
      <c r="O210" s="171"/>
      <c r="P210" s="171"/>
      <c r="Q210" s="171"/>
      <c r="R210" s="232"/>
      <c r="S210" s="171"/>
      <c r="T210" s="171"/>
      <c r="U210" s="171"/>
      <c r="V210" s="171"/>
      <c r="W210" s="232"/>
      <c r="X210" s="171"/>
      <c r="Y210" s="171"/>
      <c r="Z210" s="171"/>
      <c r="AA210" s="171"/>
      <c r="AB210" s="232"/>
      <c r="AC210" s="171"/>
      <c r="AD210" s="171"/>
      <c r="AE210" s="171"/>
      <c r="AF210" s="171"/>
      <c r="AG210" s="232"/>
      <c r="AH210" s="171"/>
      <c r="AI210" s="171"/>
      <c r="AJ210" s="171"/>
      <c r="AK210" s="171"/>
      <c r="AL210" s="232"/>
      <c r="AM210" s="171"/>
      <c r="AN210" s="171"/>
      <c r="AO210" s="171"/>
      <c r="AP210" s="171"/>
      <c r="AQ210" s="232"/>
      <c r="AR210" s="171"/>
      <c r="AS210" s="171"/>
      <c r="AT210" s="171"/>
      <c r="AU210" s="171"/>
      <c r="AV210" s="232"/>
      <c r="AW210" s="171"/>
      <c r="AX210" s="171"/>
      <c r="AY210" s="171"/>
      <c r="AZ210" s="171"/>
      <c r="BA210" s="232"/>
      <c r="BB210" s="171"/>
      <c r="BC210" s="171"/>
      <c r="BD210" s="171"/>
      <c r="BE210" s="171"/>
      <c r="BF210" s="232"/>
      <c r="BG210" s="171"/>
      <c r="BH210" s="171"/>
      <c r="BI210" s="171"/>
      <c r="BJ210" s="171"/>
      <c r="BK210" s="232"/>
      <c r="BL210" s="171"/>
      <c r="BM210" s="171"/>
      <c r="BN210" s="171"/>
      <c r="BO210" s="171"/>
      <c r="BP210" s="232"/>
      <c r="BQ210" s="171"/>
      <c r="BR210" s="171"/>
      <c r="BS210" s="171"/>
      <c r="BT210" s="171"/>
      <c r="BU210" s="232"/>
      <c r="BV210" s="171"/>
      <c r="BW210" s="171"/>
      <c r="BX210" s="171"/>
      <c r="BY210" s="171"/>
      <c r="BZ210" s="232"/>
      <c r="CA210" s="171"/>
      <c r="CB210" s="171"/>
      <c r="CC210" s="171"/>
      <c r="CD210" s="171"/>
      <c r="CE210" s="232"/>
    </row>
    <row r="211" spans="2:83" ht="12.6" customHeight="1">
      <c r="B211" s="219"/>
      <c r="C211" s="218"/>
      <c r="D211" s="189"/>
      <c r="E211" s="189" t="s">
        <v>0</v>
      </c>
      <c r="F211" s="189" t="s">
        <v>0</v>
      </c>
      <c r="G211" s="189" t="s">
        <v>0</v>
      </c>
      <c r="H211" s="189"/>
      <c r="I211" s="189" t="s">
        <v>0</v>
      </c>
      <c r="J211" s="189" t="s">
        <v>0</v>
      </c>
      <c r="K211" s="189" t="s">
        <v>0</v>
      </c>
      <c r="L211" s="189" t="s">
        <v>0</v>
      </c>
      <c r="M211" s="189"/>
      <c r="N211" s="189" t="s">
        <v>0</v>
      </c>
      <c r="O211" s="189" t="s">
        <v>0</v>
      </c>
      <c r="P211" s="189" t="s">
        <v>0</v>
      </c>
      <c r="Q211" s="189" t="s">
        <v>0</v>
      </c>
      <c r="R211" s="189"/>
      <c r="S211" s="189" t="s">
        <v>0</v>
      </c>
      <c r="T211" s="189" t="s">
        <v>0</v>
      </c>
      <c r="U211" s="189" t="s">
        <v>0</v>
      </c>
      <c r="V211" s="189" t="s">
        <v>0</v>
      </c>
      <c r="W211" s="189"/>
      <c r="X211" s="189" t="s">
        <v>0</v>
      </c>
      <c r="Y211" s="189" t="s">
        <v>0</v>
      </c>
      <c r="Z211" s="189" t="s">
        <v>0</v>
      </c>
      <c r="AA211" s="189" t="s">
        <v>0</v>
      </c>
      <c r="AB211" s="189"/>
      <c r="AC211" s="189" t="s">
        <v>0</v>
      </c>
      <c r="AD211" s="189" t="s">
        <v>0</v>
      </c>
      <c r="AE211" s="189" t="s">
        <v>0</v>
      </c>
      <c r="AF211" s="189" t="s">
        <v>0</v>
      </c>
      <c r="AG211" s="189"/>
      <c r="AH211" s="189" t="s">
        <v>0</v>
      </c>
      <c r="AI211" s="189" t="s">
        <v>0</v>
      </c>
      <c r="AJ211" s="189" t="s">
        <v>0</v>
      </c>
      <c r="AK211" s="189" t="s">
        <v>0</v>
      </c>
      <c r="AL211" s="189"/>
      <c r="AM211" s="189" t="s">
        <v>0</v>
      </c>
      <c r="AN211" s="189" t="s">
        <v>0</v>
      </c>
      <c r="AO211" s="189" t="s">
        <v>0</v>
      </c>
      <c r="AP211" s="189" t="s">
        <v>0</v>
      </c>
      <c r="AQ211" s="189"/>
      <c r="AR211" s="189" t="s">
        <v>0</v>
      </c>
      <c r="AS211" s="189" t="s">
        <v>0</v>
      </c>
      <c r="AT211" s="189" t="s">
        <v>0</v>
      </c>
      <c r="AU211" s="189" t="s">
        <v>0</v>
      </c>
      <c r="AV211" s="189"/>
      <c r="AW211" s="189" t="s">
        <v>0</v>
      </c>
      <c r="AX211" s="189" t="s">
        <v>0</v>
      </c>
      <c r="AY211" s="189" t="s">
        <v>0</v>
      </c>
      <c r="AZ211" s="189" t="s">
        <v>0</v>
      </c>
      <c r="BA211" s="189"/>
      <c r="BB211" s="189" t="s">
        <v>0</v>
      </c>
      <c r="BC211" s="189" t="s">
        <v>0</v>
      </c>
      <c r="BD211" s="189" t="s">
        <v>0</v>
      </c>
      <c r="BE211" s="189" t="s">
        <v>0</v>
      </c>
      <c r="BF211" s="189"/>
      <c r="BG211" s="189" t="s">
        <v>0</v>
      </c>
      <c r="BH211" s="189" t="s">
        <v>0</v>
      </c>
      <c r="BI211" s="189" t="s">
        <v>0</v>
      </c>
      <c r="BJ211" s="189" t="s">
        <v>0</v>
      </c>
      <c r="BK211" s="189"/>
      <c r="BL211" s="189" t="s">
        <v>0</v>
      </c>
      <c r="BM211" s="189" t="s">
        <v>0</v>
      </c>
      <c r="BN211" s="189" t="s">
        <v>0</v>
      </c>
      <c r="BO211" s="189" t="s">
        <v>0</v>
      </c>
      <c r="BP211" s="189"/>
      <c r="BQ211" s="189" t="s">
        <v>0</v>
      </c>
      <c r="BR211" s="189" t="s">
        <v>0</v>
      </c>
      <c r="BS211" s="189" t="s">
        <v>0</v>
      </c>
      <c r="BT211" s="189" t="s">
        <v>0</v>
      </c>
      <c r="BU211" s="189"/>
      <c r="BV211" s="189" t="s">
        <v>0</v>
      </c>
      <c r="BW211" s="189" t="s">
        <v>0</v>
      </c>
      <c r="BX211" s="189" t="s">
        <v>0</v>
      </c>
      <c r="BY211" s="189" t="s">
        <v>0</v>
      </c>
      <c r="BZ211" s="189"/>
      <c r="CA211" s="189" t="s">
        <v>0</v>
      </c>
      <c r="CB211" s="189" t="s">
        <v>0</v>
      </c>
      <c r="CC211" s="189" t="s">
        <v>0</v>
      </c>
      <c r="CD211" s="189" t="s">
        <v>0</v>
      </c>
      <c r="CE211" s="189"/>
    </row>
    <row r="212" spans="2:83" ht="12.6" customHeight="1">
      <c r="B212" s="220" t="s">
        <v>8</v>
      </c>
      <c r="C212" s="221"/>
      <c r="D212" s="171"/>
      <c r="E212" s="171">
        <f>+(E$37/D$37)-1</f>
        <v>2.5938690368220607E-2</v>
      </c>
      <c r="F212" s="171">
        <f>+(F$37/E$37)-1</f>
        <v>-5.3041018387553041E-2</v>
      </c>
      <c r="G212" s="171">
        <f>+(G$37/F$37)-1</f>
        <v>7.4184714961413656E-2</v>
      </c>
      <c r="H212" s="232"/>
      <c r="I212" s="171">
        <f>+(I$37/G$37)-1</f>
        <v>7.2132097334878464E-2</v>
      </c>
      <c r="J212" s="171">
        <f>+(J$37/I$37)-1</f>
        <v>-6.9170494460956133E-3</v>
      </c>
      <c r="K212" s="171">
        <f>+(K$37/J$37)-1</f>
        <v>-3.0472873700821967E-3</v>
      </c>
      <c r="L212" s="171">
        <f>+(L$37/K$37)-1</f>
        <v>0.13072430544184299</v>
      </c>
      <c r="M212" s="232"/>
      <c r="N212" s="171">
        <f>+(N$37/L$37)-1</f>
        <v>5.2037072793975403E-2</v>
      </c>
      <c r="O212" s="171">
        <f>+(O$37/N$37)-1</f>
        <v>-3.5743782692484127E-2</v>
      </c>
      <c r="P212" s="171">
        <f>+(P$37/O$37)-1</f>
        <v>4.0923150130858232E-3</v>
      </c>
      <c r="Q212" s="171">
        <f>+(Q$37/P$37)-1</f>
        <v>2.6823373299843523E-2</v>
      </c>
      <c r="R212" s="232"/>
      <c r="S212" s="171">
        <f>+(S$37/Q$37)-1</f>
        <v>-2.7922647343887053E-2</v>
      </c>
      <c r="T212" s="171">
        <f>+(T$37/S$37)-1</f>
        <v>6.210236444782069E-2</v>
      </c>
      <c r="U212" s="171">
        <f>+(U$37/T$37)-1</f>
        <v>1.6584711667411822E-2</v>
      </c>
      <c r="V212" s="171">
        <f>+(V$37/U$37)-1</f>
        <v>1.9128446418363199E-2</v>
      </c>
      <c r="W212" s="232"/>
      <c r="X212" s="171">
        <f>+(X$37/V$37)-1</f>
        <v>7.5120814635830202E-2</v>
      </c>
      <c r="Y212" s="171">
        <f>+(Y$37/X$37)-1</f>
        <v>8.5483806236705817E-2</v>
      </c>
      <c r="Z212" s="171">
        <f>+(Z$37/Y$37)-1</f>
        <v>2.8838688209413821E-3</v>
      </c>
      <c r="AA212" s="171">
        <f>+(AA$37/Z$37)-1</f>
        <v>4.5714285714286707E-3</v>
      </c>
      <c r="AB212" s="232"/>
      <c r="AC212" s="171">
        <f>+(AC$37/AA$37)-1</f>
        <v>7.6736760982054397E-2</v>
      </c>
      <c r="AD212" s="171">
        <f>+(AD$37/AC$37)-1</f>
        <v>-3.7866394001363379E-2</v>
      </c>
      <c r="AE212" s="171">
        <f>+(AE$37/AD$37)-1</f>
        <v>1.6755818484537111E-2</v>
      </c>
      <c r="AF212" s="171">
        <f>+(AF$37/AE$37)-1</f>
        <v>7.4454741829837578E-2</v>
      </c>
      <c r="AG212" s="232"/>
      <c r="AH212" s="171">
        <f>+(AH$37/AF$37)-1</f>
        <v>3.9463017607574757E-2</v>
      </c>
      <c r="AI212" s="171">
        <f>+(AI$37/AH$37)-1</f>
        <v>2.9011729473421566E-2</v>
      </c>
      <c r="AJ212" s="171">
        <f>+(AJ$37/AI$37)-1</f>
        <v>-6.4481901412720588E-2</v>
      </c>
      <c r="AK212" s="171">
        <f>+(AK$37/AJ$37)-1</f>
        <v>0.15982371431349041</v>
      </c>
      <c r="AL212" s="232"/>
      <c r="AM212" s="171">
        <f>+(AM$37/AK$37)-1</f>
        <v>-9.1363750663574494E-3</v>
      </c>
      <c r="AN212" s="171">
        <f>+(AN$37/AM$37)-1</f>
        <v>2.6956914053688275E-2</v>
      </c>
      <c r="AO212" s="171">
        <f>+(AO$37/AN$37)-1</f>
        <v>-3.3964854475562856E-2</v>
      </c>
      <c r="AP212" s="171">
        <f>+(AP$37/AO$37)-1</f>
        <v>0.1025211039422449</v>
      </c>
      <c r="AQ212" s="232"/>
      <c r="AR212" s="171">
        <f>+(AR$37/AP$37)-1</f>
        <v>-2.2196442382057202E-2</v>
      </c>
      <c r="AS212" s="171">
        <f>+(AS$37/AR$37)-1</f>
        <v>-6.2854280365946869E-2</v>
      </c>
      <c r="AT212" s="171">
        <f>+(AT$37/AS$37)-1</f>
        <v>2.4138416092277293E-2</v>
      </c>
      <c r="AU212" s="171">
        <f>+(AU$37/AT$37)-1</f>
        <v>9.4415295442683345E-2</v>
      </c>
      <c r="AV212" s="232"/>
      <c r="AW212" s="171">
        <f>+(AW$37/AU$37)-1</f>
        <v>1.4784136546184712E-2</v>
      </c>
      <c r="AX212" s="171">
        <f>+(AX$37/AW$37)-1</f>
        <v>1.5384995918771072E-2</v>
      </c>
      <c r="AY212" s="171">
        <f>+(AY$37/AX$37)-1</f>
        <v>2.2045747972034846E-2</v>
      </c>
      <c r="AZ212" s="171">
        <f>+(AZ$37/AY$37)-1</f>
        <v>0.11156926303746784</v>
      </c>
      <c r="BA212" s="232"/>
      <c r="BB212" s="171">
        <f>+(BB$37/AZ$37)-1</f>
        <v>-3.2249072624739972E-2</v>
      </c>
      <c r="BC212" s="171">
        <f>+(BC$37/BB$37)-1</f>
        <v>0.11275563335032013</v>
      </c>
      <c r="BD212" s="171">
        <f>+(BD$37/BC$37)-1</f>
        <v>7.9825574449444492E-2</v>
      </c>
      <c r="BE212" s="171">
        <f>+(BE$37/BD$37)-1</f>
        <v>7.6118825026276538E-2</v>
      </c>
      <c r="BF212" s="232"/>
      <c r="BG212" s="171">
        <f>+(BG$37/BE$37)-1</f>
        <v>-7.3236347435699733E-2</v>
      </c>
      <c r="BH212" s="171">
        <f>+(BH$37/BG$37)-1</f>
        <v>-1.2535823241194399E-2</v>
      </c>
      <c r="BI212" s="171">
        <f>+(BI$37/BH$37)-1</f>
        <v>3.0969723070009447E-2</v>
      </c>
      <c r="BJ212" s="171">
        <f>+(BJ$37/BI$37)-1</f>
        <v>8.011114945242559E-2</v>
      </c>
      <c r="BK212" s="232"/>
      <c r="BL212" s="171">
        <f>+(BL$37/BJ$37)-1</f>
        <v>-4.4760559591068061E-2</v>
      </c>
      <c r="BM212" s="171">
        <f>+(BM$37/BL$37)-1</f>
        <v>3.8197500440063425E-2</v>
      </c>
      <c r="BN212" s="171">
        <f>+(BN$37/BM$37)-1</f>
        <v>4.7965412004069119E-2</v>
      </c>
      <c r="BO212" s="171">
        <f>+(BO$37/BN$37)-1</f>
        <v>6.7142325551294846E-3</v>
      </c>
      <c r="BP212" s="232"/>
      <c r="BQ212" s="171">
        <f>+(BQ$37/BO$37)-1</f>
        <v>4.2427359218308869E-3</v>
      </c>
      <c r="BR212" s="171">
        <f>+(BR$37/BQ$37)-1</f>
        <v>8.3600051209832271E-2</v>
      </c>
      <c r="BS212" s="171">
        <f>+(BS$37/BR$37)-1</f>
        <v>-4.2208175803402637E-2</v>
      </c>
      <c r="BT212" s="171">
        <f>+(BT$37/BS$37)-1</f>
        <v>6.2602152527214905E-2</v>
      </c>
      <c r="BU212" s="232"/>
      <c r="BV212" s="171">
        <f>+(BV$37/BT$37)-1</f>
        <v>2.5759497344516324E-2</v>
      </c>
      <c r="BW212" s="171">
        <f>+(BW$37/BV$37)-1</f>
        <v>5.5770339142377834E-2</v>
      </c>
      <c r="BX212" s="171">
        <f>+(BX$37/BW$37)-1</f>
        <v>3.8375784264998325E-2</v>
      </c>
      <c r="BY212" s="171">
        <f>+(BY$37/BX$37)-1</f>
        <v>5.8636660544068908E-2</v>
      </c>
      <c r="BZ212" s="232"/>
      <c r="CA212" s="171">
        <f>+(CA$37/BY$37)-1</f>
        <v>-3.5039579348850047E-2</v>
      </c>
      <c r="CB212" s="171">
        <f>+(CB$37/CA$37)-1</f>
        <v>6.730346664830078E-3</v>
      </c>
      <c r="CC212" s="171">
        <f>+(CC$37/CB$37)-1</f>
        <v>2.7139835109610821E-3</v>
      </c>
      <c r="CD212" s="171">
        <f>+(CD$37/CC$37)-1</f>
        <v>1.5116669129758842E-2</v>
      </c>
      <c r="CE212" s="232"/>
    </row>
    <row r="213" spans="2:83" ht="7.5" customHeight="1">
      <c r="B213" s="186"/>
      <c r="C213" s="215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  <c r="Z213" s="191"/>
      <c r="AA213" s="191"/>
      <c r="AB213" s="191"/>
      <c r="AC213" s="191"/>
      <c r="AD213" s="191"/>
      <c r="AE213" s="191"/>
      <c r="AF213" s="191"/>
      <c r="AG213" s="191"/>
      <c r="AH213" s="191"/>
      <c r="AI213" s="191"/>
      <c r="AJ213" s="191"/>
      <c r="AK213" s="191"/>
      <c r="AL213" s="191"/>
      <c r="AM213" s="191"/>
      <c r="AN213" s="191"/>
      <c r="AO213" s="191"/>
      <c r="AP213" s="191"/>
      <c r="AQ213" s="191"/>
      <c r="AR213" s="191"/>
      <c r="AS213" s="191"/>
      <c r="AT213" s="191"/>
      <c r="AU213" s="191"/>
      <c r="AV213" s="191"/>
      <c r="AW213" s="191"/>
      <c r="AX213" s="191"/>
      <c r="AY213" s="191"/>
      <c r="AZ213" s="191"/>
      <c r="BA213" s="191"/>
      <c r="BB213" s="191"/>
      <c r="BC213" s="191"/>
      <c r="BD213" s="191"/>
      <c r="BE213" s="191"/>
      <c r="BF213" s="191"/>
      <c r="BG213" s="191"/>
      <c r="BH213" s="191"/>
      <c r="BI213" s="191"/>
      <c r="BJ213" s="191"/>
      <c r="BK213" s="191"/>
      <c r="BL213" s="191"/>
      <c r="BM213" s="191"/>
      <c r="BN213" s="191"/>
      <c r="BO213" s="191"/>
      <c r="BP213" s="191"/>
      <c r="BQ213" s="191"/>
      <c r="BR213" s="191"/>
      <c r="BS213" s="191"/>
      <c r="BT213" s="191"/>
      <c r="BU213" s="191"/>
      <c r="BV213" s="191"/>
      <c r="BW213" s="191"/>
      <c r="BX213" s="191"/>
      <c r="BY213" s="191"/>
      <c r="BZ213" s="191"/>
      <c r="CA213" s="191"/>
      <c r="CB213" s="191"/>
      <c r="CC213" s="191"/>
      <c r="CD213" s="191"/>
      <c r="CE213" s="191"/>
    </row>
    <row r="214" spans="2:83" ht="12.6" customHeight="1">
      <c r="B214" s="186"/>
      <c r="C214" s="206"/>
      <c r="D214" s="189"/>
      <c r="E214" s="189" t="s">
        <v>0</v>
      </c>
      <c r="F214" s="189" t="s">
        <v>0</v>
      </c>
      <c r="G214" s="189" t="s">
        <v>0</v>
      </c>
      <c r="H214" s="189"/>
      <c r="I214" s="189" t="s">
        <v>0</v>
      </c>
      <c r="J214" s="189" t="s">
        <v>0</v>
      </c>
      <c r="K214" s="189" t="s">
        <v>0</v>
      </c>
      <c r="L214" s="189" t="s">
        <v>0</v>
      </c>
      <c r="M214" s="189"/>
      <c r="N214" s="189" t="s">
        <v>0</v>
      </c>
      <c r="O214" s="189" t="s">
        <v>0</v>
      </c>
      <c r="P214" s="189" t="s">
        <v>0</v>
      </c>
      <c r="Q214" s="189" t="s">
        <v>0</v>
      </c>
      <c r="R214" s="189"/>
      <c r="S214" s="189" t="s">
        <v>0</v>
      </c>
      <c r="T214" s="189" t="s">
        <v>0</v>
      </c>
      <c r="U214" s="189" t="s">
        <v>0</v>
      </c>
      <c r="V214" s="189" t="s">
        <v>0</v>
      </c>
      <c r="W214" s="189"/>
      <c r="X214" s="189" t="s">
        <v>0</v>
      </c>
      <c r="Y214" s="189" t="s">
        <v>0</v>
      </c>
      <c r="Z214" s="189" t="s">
        <v>0</v>
      </c>
      <c r="AA214" s="189" t="s">
        <v>0</v>
      </c>
      <c r="AB214" s="189"/>
      <c r="AC214" s="189" t="s">
        <v>0</v>
      </c>
      <c r="AD214" s="189" t="s">
        <v>0</v>
      </c>
      <c r="AE214" s="189" t="s">
        <v>0</v>
      </c>
      <c r="AF214" s="189" t="s">
        <v>0</v>
      </c>
      <c r="AG214" s="189"/>
      <c r="AH214" s="189" t="s">
        <v>0</v>
      </c>
      <c r="AI214" s="189" t="s">
        <v>0</v>
      </c>
      <c r="AJ214" s="189" t="s">
        <v>0</v>
      </c>
      <c r="AK214" s="189" t="s">
        <v>0</v>
      </c>
      <c r="AL214" s="189"/>
      <c r="AM214" s="189" t="s">
        <v>0</v>
      </c>
      <c r="AN214" s="189" t="s">
        <v>0</v>
      </c>
      <c r="AO214" s="189" t="s">
        <v>0</v>
      </c>
      <c r="AP214" s="189" t="s">
        <v>0</v>
      </c>
      <c r="AQ214" s="189"/>
      <c r="AR214" s="189" t="s">
        <v>0</v>
      </c>
      <c r="AS214" s="189" t="s">
        <v>0</v>
      </c>
      <c r="AT214" s="189" t="s">
        <v>0</v>
      </c>
      <c r="AU214" s="189" t="s">
        <v>0</v>
      </c>
      <c r="AV214" s="189"/>
      <c r="AW214" s="189" t="s">
        <v>0</v>
      </c>
      <c r="AX214" s="189" t="s">
        <v>0</v>
      </c>
      <c r="AY214" s="189" t="s">
        <v>0</v>
      </c>
      <c r="AZ214" s="189" t="s">
        <v>0</v>
      </c>
      <c r="BA214" s="189"/>
      <c r="BB214" s="189" t="s">
        <v>0</v>
      </c>
      <c r="BC214" s="189" t="s">
        <v>0</v>
      </c>
      <c r="BD214" s="189" t="s">
        <v>0</v>
      </c>
      <c r="BE214" s="189" t="s">
        <v>0</v>
      </c>
      <c r="BF214" s="189"/>
      <c r="BG214" s="189" t="s">
        <v>0</v>
      </c>
      <c r="BH214" s="189" t="s">
        <v>0</v>
      </c>
      <c r="BI214" s="189" t="s">
        <v>0</v>
      </c>
      <c r="BJ214" s="189" t="s">
        <v>0</v>
      </c>
      <c r="BK214" s="189"/>
      <c r="BL214" s="189" t="s">
        <v>0</v>
      </c>
      <c r="BM214" s="189" t="s">
        <v>0</v>
      </c>
      <c r="BN214" s="189" t="s">
        <v>0</v>
      </c>
      <c r="BO214" s="189" t="s">
        <v>0</v>
      </c>
      <c r="BP214" s="189"/>
      <c r="BQ214" s="189" t="s">
        <v>0</v>
      </c>
      <c r="BR214" s="189" t="s">
        <v>0</v>
      </c>
      <c r="BS214" s="189" t="s">
        <v>0</v>
      </c>
      <c r="BT214" s="189" t="s">
        <v>0</v>
      </c>
      <c r="BU214" s="189"/>
      <c r="BV214" s="189" t="s">
        <v>0</v>
      </c>
      <c r="BW214" s="189" t="s">
        <v>0</v>
      </c>
      <c r="BX214" s="189" t="s">
        <v>0</v>
      </c>
      <c r="BY214" s="189" t="s">
        <v>0</v>
      </c>
      <c r="BZ214" s="189"/>
      <c r="CA214" s="189" t="s">
        <v>0</v>
      </c>
      <c r="CB214" s="189" t="s">
        <v>0</v>
      </c>
      <c r="CC214" s="189" t="s">
        <v>0</v>
      </c>
      <c r="CD214" s="189" t="s">
        <v>0</v>
      </c>
      <c r="CE214" s="189"/>
    </row>
    <row r="215" spans="2:83" s="10" customFormat="1" ht="12.6" customHeight="1">
      <c r="B215" s="220" t="s">
        <v>2</v>
      </c>
      <c r="C215" s="212"/>
      <c r="D215" s="180"/>
      <c r="E215" s="180">
        <f>+(E$41/D$41)-1</f>
        <v>0.21978021978021989</v>
      </c>
      <c r="F215" s="180">
        <f>+(F$41/E$41)-1</f>
        <v>3.1261261261261257</v>
      </c>
      <c r="G215" s="180">
        <f>+(G$41/F$41)-1</f>
        <v>-9.1339155749634804E-2</v>
      </c>
      <c r="H215" s="231"/>
      <c r="I215" s="180">
        <f>+(I$41/G$41)-1</f>
        <v>-0.72927513015618783</v>
      </c>
      <c r="J215" s="180">
        <f>+(J$41/I$41)-1</f>
        <v>2.1079881656804735</v>
      </c>
      <c r="K215" s="180">
        <f>+(K$41/J$41)-1</f>
        <v>0.4831032841504046</v>
      </c>
      <c r="L215" s="180">
        <f>+(L$41/K$41)-1</f>
        <v>-0.38318356867779091</v>
      </c>
      <c r="M215" s="231"/>
      <c r="N215" s="180">
        <f>+(N$41/L$41)-1</f>
        <v>-2.9656607700313975E-2</v>
      </c>
      <c r="O215" s="180">
        <f>+(O$41/N$41)-1</f>
        <v>1.2895442359249332</v>
      </c>
      <c r="P215" s="180">
        <f>+(P$41/O$41)-1</f>
        <v>0.40538641686182664</v>
      </c>
      <c r="Q215" s="180">
        <f>+(Q$41/P$41)-1</f>
        <v>0.27645392434594229</v>
      </c>
      <c r="R215" s="231"/>
      <c r="S215" s="180">
        <f>+(S$41/Q$41)-1</f>
        <v>0.14817232375979117</v>
      </c>
      <c r="T215" s="180">
        <f>+(T$41/S$41)-1</f>
        <v>0.10221716884593524</v>
      </c>
      <c r="U215" s="180">
        <f>+(U$41/T$41)-1</f>
        <v>0.16556632968846707</v>
      </c>
      <c r="V215" s="180">
        <f>+(V$41/U$41)-1</f>
        <v>0.10735463315337634</v>
      </c>
      <c r="W215" s="231"/>
      <c r="X215" s="180">
        <f>+(X$41/V$41)-1</f>
        <v>-1.7423273657289018E-2</v>
      </c>
      <c r="Y215" s="180">
        <f>+(Y$41/X$41)-1</f>
        <v>-4.4249227265332647E-2</v>
      </c>
      <c r="Z215" s="180">
        <f>+(Z$41/Y$41)-1</f>
        <v>0.11404255319148926</v>
      </c>
      <c r="AA215" s="180">
        <f>+(AA$41/Z$41)-1</f>
        <v>5.7142857142857162E-2</v>
      </c>
      <c r="AB215" s="231"/>
      <c r="AC215" s="180">
        <f>+(AC$41/AA$41)-1</f>
        <v>-0.13368983957219249</v>
      </c>
      <c r="AD215" s="180">
        <f>+(AD$41/AC$41)-1</f>
        <v>0.28928928928928932</v>
      </c>
      <c r="AE215" s="180">
        <f>+(AE$41/AD$41)-1</f>
        <v>0.20846273291925477</v>
      </c>
      <c r="AF215" s="180">
        <f>+(AF$41/AE$41)-1</f>
        <v>-2.302173680265529E-3</v>
      </c>
      <c r="AG215" s="231"/>
      <c r="AH215" s="180">
        <f>+(AH$41/AF$41)-1</f>
        <v>-2.4255433324389619E-2</v>
      </c>
      <c r="AI215" s="180">
        <f>+(AI$41/AH$41)-1</f>
        <v>0.12011219270747397</v>
      </c>
      <c r="AJ215" s="180">
        <f>+(AJ$41/AI$41)-1</f>
        <v>0.26439829135366044</v>
      </c>
      <c r="AK215" s="180">
        <f>+(AK$41/AJ$41)-1</f>
        <v>-0.11369990680335507</v>
      </c>
      <c r="AL215" s="231"/>
      <c r="AM215" s="180">
        <f>+(AM$41/AK$41)-1</f>
        <v>6.0725552050473253E-2</v>
      </c>
      <c r="AN215" s="180">
        <f>+(AN$41/AM$41)-1</f>
        <v>0.11615035109458893</v>
      </c>
      <c r="AO215" s="180">
        <f>+(AO$41/AN$41)-1</f>
        <v>0.20094737621197534</v>
      </c>
      <c r="AP215" s="180">
        <f>+(AP$41/AO$41)-1</f>
        <v>-5.109084185874524E-2</v>
      </c>
      <c r="AQ215" s="231"/>
      <c r="AR215" s="180">
        <f>+(AR$41/AP$41)-1</f>
        <v>3.7474832759628596E-2</v>
      </c>
      <c r="AS215" s="180">
        <f>+(AS$41/AR$41)-1</f>
        <v>0.14160510830098905</v>
      </c>
      <c r="AT215" s="180">
        <f>+(AT$41/AS$41)-1</f>
        <v>5.2752796665935575E-2</v>
      </c>
      <c r="AU215" s="180">
        <f>+(AU$41/AT$41)-1</f>
        <v>-5.8209188457130967E-2</v>
      </c>
      <c r="AV215" s="231"/>
      <c r="AW215" s="180">
        <f>+(AW$41/AU$41)-1</f>
        <v>2.7128674538867914E-2</v>
      </c>
      <c r="AX215" s="180">
        <f>+(AX$41/AW$41)-1</f>
        <v>6.5128426040600873E-2</v>
      </c>
      <c r="AY215" s="180">
        <f>+(AY$41/AX$41)-1</f>
        <v>8.9583175349460253E-2</v>
      </c>
      <c r="AZ215" s="180">
        <f>+(AZ$41/AY$41)-1</f>
        <v>-2.2967173181765443E-2</v>
      </c>
      <c r="BA215" s="231"/>
      <c r="BB215" s="180">
        <f>+(BB$41/AZ$41)-1</f>
        <v>0.11565950373976008</v>
      </c>
      <c r="BC215" s="180">
        <f>+(BC$41/BB$41)-1</f>
        <v>6.4061635380752158E-3</v>
      </c>
      <c r="BD215" s="180">
        <f>+(BD$41/BC$41)-1</f>
        <v>1.4718633028105055E-2</v>
      </c>
      <c r="BE215" s="180">
        <f>+(BE$41/BD$41)-1</f>
        <v>-1.2462747222974802E-2</v>
      </c>
      <c r="BF215" s="231"/>
      <c r="BG215" s="180">
        <f>+(BG$41/BE$41)-1</f>
        <v>9.7034926664556265E-2</v>
      </c>
      <c r="BH215" s="180">
        <f>+(BH$41/BG$41)-1</f>
        <v>0.14660562106842612</v>
      </c>
      <c r="BI215" s="180">
        <f>+(BI$41/BH$41)-1</f>
        <v>5.5113750754982815E-2</v>
      </c>
      <c r="BJ215" s="180">
        <f>+(BJ$41/BI$41)-1</f>
        <v>-3.3869198110957455E-2</v>
      </c>
      <c r="BK215" s="231"/>
      <c r="BL215" s="180">
        <f>+(BL$41/BJ$41)-1</f>
        <v>6.2624467157128993E-2</v>
      </c>
      <c r="BM215" s="180">
        <f>+(BM$41/BL$41)-1</f>
        <v>2.1079858744811331E-2</v>
      </c>
      <c r="BN215" s="180">
        <f>+(BN$41/BM$41)-1</f>
        <v>1.3196814562002057E-3</v>
      </c>
      <c r="BO215" s="180">
        <f>+(BO$41/BN$41)-1</f>
        <v>7.1487002363206598E-2</v>
      </c>
      <c r="BP215" s="231"/>
      <c r="BQ215" s="180">
        <f>+(BQ$41/BO$41)-1</f>
        <v>6.8428270489602205E-3</v>
      </c>
      <c r="BR215" s="180">
        <f>+(BR$41/BQ$41)-1</f>
        <v>-1.5769149757775769E-2</v>
      </c>
      <c r="BS215" s="180">
        <f>+(BS$41/BR$41)-1</f>
        <v>0.14194201906066306</v>
      </c>
      <c r="BT215" s="180">
        <f>+(BT$41/BS$41)-1</f>
        <v>1.0744493447107928E-3</v>
      </c>
      <c r="BU215" s="231"/>
      <c r="BV215" s="180">
        <f>+(BV$41/BT$41)-1</f>
        <v>-6.3452286994396423E-2</v>
      </c>
      <c r="BW215" s="180">
        <f>+(BW$41/BV$41)-1</f>
        <v>-1.1157136486184216E-2</v>
      </c>
      <c r="BX215" s="180">
        <f>+(BX$41/BW$41)-1</f>
        <v>3.0324233327713168E-2</v>
      </c>
      <c r="BY215" s="180">
        <f>+(BY$41/BX$41)-1</f>
        <v>-1.8544080546178954E-4</v>
      </c>
      <c r="BZ215" s="231"/>
      <c r="CA215" s="180">
        <f>+(CA$41/BY$41)-1</f>
        <v>2.8239347055781128E-2</v>
      </c>
      <c r="CB215" s="180">
        <f>+(CB$41/CA$41)-1</f>
        <v>2.1831341761101575E-2</v>
      </c>
      <c r="CC215" s="180">
        <f>+(CC$41/CB$41)-1</f>
        <v>4.1651112004405633E-2</v>
      </c>
      <c r="CD215" s="180">
        <f>+(CD$41/CC$41)-1</f>
        <v>5.0208652807990806E-2</v>
      </c>
      <c r="CE215" s="231"/>
    </row>
    <row r="216" spans="2:83" s="10" customFormat="1" ht="6" customHeight="1">
      <c r="B216" s="220"/>
      <c r="C216" s="212"/>
      <c r="D216" s="180"/>
      <c r="E216" s="180"/>
      <c r="F216" s="180"/>
      <c r="G216" s="180"/>
      <c r="H216" s="231"/>
      <c r="I216" s="180"/>
      <c r="J216" s="180"/>
      <c r="K216" s="180"/>
      <c r="L216" s="180"/>
      <c r="M216" s="231"/>
      <c r="N216" s="180"/>
      <c r="O216" s="180"/>
      <c r="P216" s="180"/>
      <c r="Q216" s="180"/>
      <c r="R216" s="231"/>
      <c r="S216" s="180"/>
      <c r="T216" s="180"/>
      <c r="U216" s="180"/>
      <c r="V216" s="180"/>
      <c r="W216" s="231"/>
      <c r="X216" s="180"/>
      <c r="Y216" s="180"/>
      <c r="Z216" s="180"/>
      <c r="AA216" s="180"/>
      <c r="AB216" s="231"/>
      <c r="AC216" s="180"/>
      <c r="AD216" s="180"/>
      <c r="AE216" s="180"/>
      <c r="AF216" s="180"/>
      <c r="AG216" s="231"/>
      <c r="AH216" s="180"/>
      <c r="AI216" s="180"/>
      <c r="AJ216" s="180"/>
      <c r="AK216" s="180"/>
      <c r="AL216" s="231"/>
      <c r="AM216" s="180"/>
      <c r="AN216" s="180"/>
      <c r="AO216" s="180"/>
      <c r="AP216" s="180"/>
      <c r="AQ216" s="231"/>
      <c r="AR216" s="180"/>
      <c r="AS216" s="180"/>
      <c r="AT216" s="180"/>
      <c r="AU216" s="180"/>
      <c r="AV216" s="231"/>
      <c r="AW216" s="180"/>
      <c r="AX216" s="180"/>
      <c r="AY216" s="180"/>
      <c r="AZ216" s="180"/>
      <c r="BA216" s="231"/>
      <c r="BB216" s="180"/>
      <c r="BC216" s="180"/>
      <c r="BD216" s="180"/>
      <c r="BE216" s="180"/>
      <c r="BF216" s="231"/>
      <c r="BG216" s="180"/>
      <c r="BH216" s="180"/>
      <c r="BI216" s="180"/>
      <c r="BJ216" s="180"/>
      <c r="BK216" s="231"/>
      <c r="BL216" s="180"/>
      <c r="BM216" s="180"/>
      <c r="BN216" s="180"/>
      <c r="BO216" s="180"/>
      <c r="BP216" s="231"/>
      <c r="BQ216" s="180"/>
      <c r="BR216" s="180"/>
      <c r="BS216" s="180"/>
      <c r="BT216" s="180"/>
      <c r="BU216" s="231"/>
      <c r="BV216" s="180"/>
      <c r="BW216" s="180"/>
      <c r="BX216" s="180"/>
      <c r="BY216" s="180"/>
      <c r="BZ216" s="231"/>
      <c r="CA216" s="180"/>
      <c r="CB216" s="180"/>
      <c r="CC216" s="180"/>
      <c r="CD216" s="180"/>
      <c r="CE216" s="231"/>
    </row>
    <row r="217" spans="2:83" ht="12.6" customHeight="1">
      <c r="B217" s="186"/>
      <c r="C217" s="214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  <c r="Z217" s="191"/>
      <c r="AA217" s="191"/>
      <c r="AB217" s="191"/>
      <c r="AC217" s="191"/>
      <c r="AD217" s="191"/>
      <c r="AE217" s="191"/>
      <c r="AF217" s="191"/>
      <c r="AG217" s="191"/>
      <c r="AH217" s="191"/>
      <c r="AI217" s="191"/>
      <c r="AJ217" s="191"/>
      <c r="AK217" s="191"/>
      <c r="AL217" s="191"/>
      <c r="AM217" s="191"/>
      <c r="AN217" s="191"/>
      <c r="AO217" s="191"/>
      <c r="AP217" s="191"/>
      <c r="AQ217" s="191"/>
      <c r="AR217" s="191"/>
      <c r="AS217" s="191"/>
      <c r="AT217" s="191"/>
      <c r="AU217" s="191"/>
      <c r="AV217" s="191"/>
      <c r="AW217" s="191"/>
      <c r="AX217" s="191"/>
      <c r="AY217" s="191"/>
      <c r="AZ217" s="191"/>
      <c r="BA217" s="191"/>
      <c r="BB217" s="191"/>
      <c r="BC217" s="191"/>
      <c r="BD217" s="191"/>
      <c r="BE217" s="191"/>
      <c r="BF217" s="191"/>
      <c r="BG217" s="191"/>
      <c r="BH217" s="191"/>
      <c r="BI217" s="191"/>
      <c r="BJ217" s="191"/>
      <c r="BK217" s="191"/>
      <c r="BL217" s="191"/>
      <c r="BM217" s="191"/>
      <c r="BN217" s="191"/>
      <c r="BO217" s="191"/>
      <c r="BP217" s="191"/>
      <c r="BQ217" s="191"/>
      <c r="BR217" s="191"/>
      <c r="BS217" s="191"/>
      <c r="BT217" s="191"/>
      <c r="BU217" s="191"/>
      <c r="BV217" s="191"/>
      <c r="BW217" s="191"/>
      <c r="BX217" s="191"/>
      <c r="BY217" s="191"/>
      <c r="BZ217" s="191"/>
      <c r="CA217" s="191"/>
      <c r="CB217" s="191"/>
      <c r="CC217" s="191"/>
      <c r="CD217" s="191"/>
      <c r="CE217" s="191"/>
    </row>
    <row r="218" spans="2:83" ht="12.6" customHeight="1">
      <c r="B218" s="186"/>
      <c r="C218" s="214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  <c r="AA218" s="191"/>
      <c r="AB218" s="191"/>
      <c r="AC218" s="191"/>
      <c r="AD218" s="191"/>
      <c r="AE218" s="191"/>
      <c r="AF218" s="191"/>
      <c r="AG218" s="191"/>
      <c r="AH218" s="191"/>
      <c r="AI218" s="191"/>
      <c r="AJ218" s="191"/>
      <c r="AK218" s="191"/>
      <c r="AL218" s="191"/>
      <c r="AM218" s="191"/>
      <c r="AN218" s="191"/>
      <c r="AO218" s="191"/>
      <c r="AP218" s="191"/>
      <c r="AQ218" s="191"/>
      <c r="AR218" s="191"/>
      <c r="AS218" s="191"/>
      <c r="AT218" s="191"/>
      <c r="AU218" s="191"/>
      <c r="AV218" s="191"/>
      <c r="AW218" s="191"/>
      <c r="AX218" s="191"/>
      <c r="AY218" s="191"/>
      <c r="AZ218" s="191"/>
      <c r="BA218" s="191"/>
      <c r="BB218" s="191"/>
      <c r="BC218" s="191"/>
      <c r="BD218" s="191"/>
      <c r="BE218" s="191"/>
      <c r="BF218" s="191"/>
      <c r="BG218" s="191"/>
      <c r="BH218" s="191"/>
      <c r="BI218" s="191"/>
      <c r="BJ218" s="191"/>
      <c r="BK218" s="191"/>
      <c r="BL218" s="191"/>
      <c r="BM218" s="191"/>
      <c r="BN218" s="191"/>
      <c r="BO218" s="191"/>
      <c r="BP218" s="191"/>
      <c r="BQ218" s="191"/>
      <c r="BR218" s="191"/>
      <c r="BS218" s="191"/>
      <c r="BT218" s="191"/>
      <c r="BU218" s="191"/>
      <c r="BV218" s="191"/>
      <c r="BW218" s="191"/>
      <c r="BX218" s="191"/>
      <c r="BY218" s="191"/>
      <c r="BZ218" s="191"/>
      <c r="CA218" s="191"/>
      <c r="CB218" s="191"/>
      <c r="CC218" s="191"/>
      <c r="CD218" s="191"/>
      <c r="CE218" s="191"/>
    </row>
    <row r="219" spans="2:83" ht="12.6" customHeight="1">
      <c r="B219" s="186" t="s">
        <v>289</v>
      </c>
      <c r="C219" s="214"/>
      <c r="D219" s="191"/>
      <c r="E219" s="171">
        <f>+(E$45/D$45)-1</f>
        <v>-0.23076923076923073</v>
      </c>
      <c r="F219" s="171">
        <f>+(F$45/E$45)-1</f>
        <v>-0.24</v>
      </c>
      <c r="G219" s="171">
        <f>+(G$45/F$45)-1</f>
        <v>2.6315789473684292E-2</v>
      </c>
      <c r="H219" s="232"/>
      <c r="I219" s="171">
        <f>+(I$45/G$45)-1</f>
        <v>-0.53846153846153844</v>
      </c>
      <c r="J219" s="171">
        <f>+(J$45/I$45)-1</f>
        <v>-0.33333333333333337</v>
      </c>
      <c r="K219" s="171">
        <f>+(K$45/J$45)-1</f>
        <v>-0.41666666666666663</v>
      </c>
      <c r="L219" s="171">
        <f>+(L$45/K$45)-1</f>
        <v>-0.1428571428571429</v>
      </c>
      <c r="M219" s="232"/>
      <c r="N219" s="171">
        <f>+(N$45/L$45)-1</f>
        <v>-0.33333333333333337</v>
      </c>
      <c r="O219" s="171">
        <f>+(O$45/N$45)-1</f>
        <v>-0.25</v>
      </c>
      <c r="P219" s="171">
        <f>+(P$45/O$45)-1</f>
        <v>-0.33333333333333337</v>
      </c>
      <c r="Q219" s="171">
        <f>+(Q$45/P$45)-1</f>
        <v>-44.5</v>
      </c>
      <c r="R219" s="232"/>
      <c r="S219" s="171">
        <f>+(S$45/Q$45)-1</f>
        <v>0.16091954022988508</v>
      </c>
      <c r="T219" s="171">
        <f>+(T$45/S$45)-1</f>
        <v>-1.0396039603960396</v>
      </c>
      <c r="U219" s="171">
        <f>+(U$45/T$45)-1</f>
        <v>-39.25</v>
      </c>
      <c r="V219" s="171">
        <f>+(V$45/U$45)-1</f>
        <v>-1.0130718954248366</v>
      </c>
      <c r="W219" s="232"/>
      <c r="X219" s="171">
        <f>+(X$45/V$45)-1</f>
        <v>5.5</v>
      </c>
      <c r="Y219" s="171">
        <f>+(Y$45/X$45)-1</f>
        <v>-0.92307692307692313</v>
      </c>
      <c r="Z219" s="171">
        <f>+(Z$45/Y$45)-1</f>
        <v>8</v>
      </c>
      <c r="AA219" s="171">
        <f>+(AA$45/Z$45)-1</f>
        <v>-0.66666666666666674</v>
      </c>
      <c r="AB219" s="232"/>
      <c r="AC219" s="171">
        <f>+(AC$45/AA$45)-1</f>
        <v>-0.33333333333333337</v>
      </c>
      <c r="AD219" s="171">
        <f>+(AD$45/AC$45)-1</f>
        <v>-0.5</v>
      </c>
      <c r="AE219" s="171">
        <f>+(AE$45/AD$45)-1</f>
        <v>-1</v>
      </c>
      <c r="AF219" s="401" t="s">
        <v>240</v>
      </c>
      <c r="AG219" s="232"/>
      <c r="AH219" s="401" t="s">
        <v>240</v>
      </c>
      <c r="AI219" s="401" t="s">
        <v>240</v>
      </c>
      <c r="AJ219" s="401" t="s">
        <v>240</v>
      </c>
      <c r="AK219" s="401" t="s">
        <v>240</v>
      </c>
      <c r="AL219" s="402"/>
      <c r="AM219" s="401" t="s">
        <v>240</v>
      </c>
      <c r="AN219" s="401" t="s">
        <v>240</v>
      </c>
      <c r="AO219" s="401" t="s">
        <v>240</v>
      </c>
      <c r="AP219" s="401" t="s">
        <v>240</v>
      </c>
      <c r="AQ219" s="402"/>
      <c r="AR219" s="401" t="s">
        <v>240</v>
      </c>
      <c r="AS219" s="401" t="s">
        <v>240</v>
      </c>
      <c r="AT219" s="401" t="s">
        <v>240</v>
      </c>
      <c r="AU219" s="401" t="s">
        <v>240</v>
      </c>
      <c r="AV219" s="191"/>
      <c r="AW219" s="401" t="s">
        <v>240</v>
      </c>
      <c r="AX219" s="401" t="s">
        <v>240</v>
      </c>
      <c r="AY219" s="401" t="s">
        <v>240</v>
      </c>
      <c r="AZ219" s="401" t="s">
        <v>240</v>
      </c>
      <c r="BA219" s="191"/>
      <c r="BB219" s="401" t="s">
        <v>240</v>
      </c>
      <c r="BC219" s="401" t="s">
        <v>240</v>
      </c>
      <c r="BD219" s="401" t="s">
        <v>240</v>
      </c>
      <c r="BE219" s="401" t="s">
        <v>240</v>
      </c>
      <c r="BF219" s="191"/>
      <c r="BG219" s="401" t="s">
        <v>240</v>
      </c>
      <c r="BH219" s="401" t="s">
        <v>240</v>
      </c>
      <c r="BI219" s="401" t="s">
        <v>240</v>
      </c>
      <c r="BJ219" s="401" t="s">
        <v>240</v>
      </c>
      <c r="BK219" s="191"/>
      <c r="BL219" s="401" t="s">
        <v>240</v>
      </c>
      <c r="BM219" s="401" t="s">
        <v>240</v>
      </c>
      <c r="BN219" s="401" t="s">
        <v>240</v>
      </c>
      <c r="BO219" s="401" t="s">
        <v>240</v>
      </c>
      <c r="BP219" s="191"/>
      <c r="BQ219" s="401" t="s">
        <v>240</v>
      </c>
      <c r="BR219" s="401" t="s">
        <v>240</v>
      </c>
      <c r="BS219" s="401" t="s">
        <v>240</v>
      </c>
      <c r="BT219" s="401" t="s">
        <v>240</v>
      </c>
      <c r="BU219" s="191"/>
      <c r="BV219" s="401" t="s">
        <v>240</v>
      </c>
      <c r="BW219" s="401" t="s">
        <v>240</v>
      </c>
      <c r="BX219" s="401" t="s">
        <v>240</v>
      </c>
      <c r="BY219" s="401" t="s">
        <v>240</v>
      </c>
      <c r="BZ219" s="191"/>
      <c r="CA219" s="401" t="s">
        <v>240</v>
      </c>
      <c r="CB219" s="401" t="s">
        <v>240</v>
      </c>
      <c r="CC219" s="401" t="s">
        <v>240</v>
      </c>
      <c r="CD219" s="401" t="s">
        <v>240</v>
      </c>
      <c r="CE219" s="191"/>
    </row>
    <row r="220" spans="2:83" ht="13.35" hidden="1" customHeight="1">
      <c r="B220" s="186" t="s">
        <v>290</v>
      </c>
      <c r="C220" s="214"/>
      <c r="D220" s="191"/>
      <c r="E220" s="171" t="e">
        <f>+(E$46/D$46)-1</f>
        <v>#DIV/0!</v>
      </c>
      <c r="F220" s="171">
        <f>+(F$46/E$46)-1</f>
        <v>0</v>
      </c>
      <c r="G220" s="171">
        <f>+(G$46/F$46)-1</f>
        <v>11</v>
      </c>
      <c r="H220" s="232"/>
      <c r="I220" s="171">
        <f>+(I$46/G$46)-1</f>
        <v>5.416666666666667</v>
      </c>
      <c r="J220" s="171">
        <f>+(J$46/I$46)-1</f>
        <v>5.1948051948051965E-2</v>
      </c>
      <c r="K220" s="171">
        <f>+(K$46/J$46)-1</f>
        <v>0.41975308641975317</v>
      </c>
      <c r="L220" s="171">
        <f>+(L$46/K$46)-1</f>
        <v>-0.11304347826086958</v>
      </c>
      <c r="M220" s="232"/>
      <c r="N220" s="171">
        <f>+(N$46/L$46)-1</f>
        <v>5.8823529411764719E-2</v>
      </c>
      <c r="O220" s="171">
        <f>+(O$46/N$46)-1</f>
        <v>0.20370370370370372</v>
      </c>
      <c r="P220" s="171">
        <f>+(P$46/O$46)-1</f>
        <v>-2.3076923076923106E-2</v>
      </c>
      <c r="Q220" s="171">
        <f>+(Q$46/P$46)-1</f>
        <v>-1</v>
      </c>
      <c r="R220" s="232"/>
      <c r="S220" s="171" t="s">
        <v>240</v>
      </c>
      <c r="T220" s="171" t="s">
        <v>240</v>
      </c>
      <c r="U220" s="171">
        <f>+(U$46/T$46)-1</f>
        <v>-1</v>
      </c>
      <c r="V220" s="171" t="s">
        <v>240</v>
      </c>
      <c r="W220" s="232"/>
      <c r="X220" s="171">
        <f>+(X$46/V$46)-1</f>
        <v>0.35869565217391308</v>
      </c>
      <c r="Y220" s="171">
        <f>+(Y$46/X$46)-1</f>
        <v>0.15999999999999992</v>
      </c>
      <c r="Z220" s="171">
        <f>+(Z$46/Y$46)-1</f>
        <v>0.25172413793103443</v>
      </c>
      <c r="AA220" s="171">
        <f>+(AA$46/Z$46)-1</f>
        <v>0.14876033057851235</v>
      </c>
      <c r="AB220" s="232"/>
      <c r="AC220" s="171">
        <f>+(AC$46/AA$46)-1</f>
        <v>0.1534772182254196</v>
      </c>
      <c r="AD220" s="171">
        <f>+(AD$46/AC$46)-1</f>
        <v>0.12474012474012475</v>
      </c>
      <c r="AE220" s="171">
        <f>+(AE$46/AD$46)-1</f>
        <v>0.39186691312384481</v>
      </c>
      <c r="AF220" s="171">
        <f>+(AF$46/AE$46)-1</f>
        <v>0.19389110225763617</v>
      </c>
      <c r="AG220" s="232"/>
      <c r="AH220" s="171">
        <f>+(AH$46/AF$46)-1</f>
        <v>0.21245828698553959</v>
      </c>
      <c r="AI220" s="171">
        <f>+(AI$46/AH$46)-1</f>
        <v>0.33211009174311923</v>
      </c>
      <c r="AJ220" s="171">
        <f>+(AJ$46/AI$46)-1</f>
        <v>0.13705234159779622</v>
      </c>
      <c r="AK220" s="171">
        <f>+(AK$46/AJ$46)-1</f>
        <v>0.14294367050272561</v>
      </c>
      <c r="AL220" s="191"/>
      <c r="AM220" s="171">
        <f>+(AM$46/AK$46)-1</f>
        <v>8.6910439851616283E-2</v>
      </c>
      <c r="AN220" s="171">
        <f>+(AN$46/AM$46)-1</f>
        <v>7.1672354948805417E-2</v>
      </c>
      <c r="AO220" s="171">
        <f>+(AO$46/AN$46)-1</f>
        <v>-2.5477707006369421E-2</v>
      </c>
      <c r="AP220" s="171">
        <f>+(AP$46/AO$46)-1</f>
        <v>-4.2016806722689037E-2</v>
      </c>
      <c r="AQ220" s="191"/>
      <c r="AR220" s="171">
        <f>+(AR$46/AP$46)-1</f>
        <v>-6.2378167641325533E-2</v>
      </c>
      <c r="AS220" s="171">
        <f>+(AS$46/AR$46)-1</f>
        <v>-0.27650727650727647</v>
      </c>
      <c r="AT220" s="171">
        <f>+(AT$46/AS$46)-1</f>
        <v>-0.19324712643678166</v>
      </c>
      <c r="AU220" s="171">
        <f>+(AU$46/AT$46)-1</f>
        <v>-0.15761353517364207</v>
      </c>
      <c r="AV220" s="191"/>
      <c r="AW220" s="171">
        <f>+(AW$46/AU$46)-1</f>
        <v>-0.21141649048625788</v>
      </c>
      <c r="AX220" s="171">
        <f>+(AX$46/AW$46)-1</f>
        <v>-0.23994638069705099</v>
      </c>
      <c r="AY220" s="171">
        <f>+(AY$46/AX$46)-1</f>
        <v>-7.407407407407407E-2</v>
      </c>
      <c r="AZ220" s="171">
        <f>+(AZ$46/AY$46)-1</f>
        <v>-0.14476190476190476</v>
      </c>
      <c r="BA220" s="191"/>
      <c r="BB220" s="171">
        <f>+(BB$46/AZ$46)-1</f>
        <v>0.15367483296213802</v>
      </c>
      <c r="BC220" s="171">
        <f>+(BC$46/BB$46)-1</f>
        <v>0.61969111969111967</v>
      </c>
      <c r="BD220" s="171">
        <f>+(BD$46/BC$46)-1</f>
        <v>0.86889153754469617</v>
      </c>
      <c r="BE220" s="171">
        <f>+(BE$46/BD$46)-1</f>
        <v>0.44515306122448983</v>
      </c>
      <c r="BF220" s="191"/>
      <c r="BG220" s="171">
        <f>+(BG$46/BE$46)-1</f>
        <v>5.7811120917917069E-2</v>
      </c>
      <c r="BH220" s="171">
        <f>+(BH$46/BG$46)-1</f>
        <v>0.58906967042136005</v>
      </c>
      <c r="BI220" s="171">
        <f>+(BI$46/BH$46)-1</f>
        <v>0.34838540299291143</v>
      </c>
      <c r="BJ220" s="171">
        <f>+(BJ$46/BI$46)-1</f>
        <v>8.3138629283489029E-2</v>
      </c>
      <c r="BK220" s="191"/>
      <c r="BL220" s="171">
        <f>+(BL$46/BJ$46)-1</f>
        <v>0.10066510875426937</v>
      </c>
      <c r="BM220" s="171">
        <f>+(BM$46/BL$46)-1</f>
        <v>9.4724808100604241E-2</v>
      </c>
      <c r="BN220" s="171">
        <f>+(BN$46/BM$46)-1</f>
        <v>9.1004028047143581E-3</v>
      </c>
      <c r="BO220" s="171">
        <f>+(BO$46/BN$46)-1</f>
        <v>-8.4269662921348298E-2</v>
      </c>
      <c r="BP220" s="191"/>
      <c r="BQ220" s="171">
        <f>+(BQ$46/BO$46)-1</f>
        <v>6.6193090087180995E-3</v>
      </c>
      <c r="BR220" s="171">
        <f>+(BR$46/BQ$46)-1</f>
        <v>2.7586206896551779E-2</v>
      </c>
      <c r="BS220" s="171">
        <f>+(BS$46/BR$46)-1</f>
        <v>-2.2319338223817708E-2</v>
      </c>
      <c r="BT220" s="171">
        <f>+(BT$46/BS$46)-1</f>
        <v>1.2931034482758674E-2</v>
      </c>
      <c r="BU220" s="191"/>
      <c r="BV220" s="171">
        <f>+(BV$46/BT$46)-1</f>
        <v>-1.5760441292356209E-2</v>
      </c>
      <c r="BW220" s="171">
        <f>+(BW$46/BV$46)-1</f>
        <v>-1.6012810248198561E-2</v>
      </c>
      <c r="BX220" s="171">
        <f>+(BX$46/BW$46)-1</f>
        <v>-1.6273393002441017E-2</v>
      </c>
      <c r="BY220" s="171">
        <f>+(BY$46/BX$46)-1</f>
        <v>-1.6542597187758523E-2</v>
      </c>
      <c r="BZ220" s="191"/>
      <c r="CA220" s="171">
        <f>+(CA$46/BY$46)-1</f>
        <v>0</v>
      </c>
      <c r="CB220" s="171">
        <f>+(CB$46/CA$46)-1</f>
        <v>0</v>
      </c>
      <c r="CC220" s="171">
        <f>+(CC$46/CB$46)-1</f>
        <v>0</v>
      </c>
      <c r="CD220" s="171">
        <f>+(CD$46/CC$46)-1</f>
        <v>0</v>
      </c>
      <c r="CE220" s="191"/>
    </row>
    <row r="221" spans="2:83" ht="13.35" hidden="1" customHeight="1">
      <c r="B221" s="186" t="s">
        <v>291</v>
      </c>
      <c r="C221" s="214"/>
      <c r="D221" s="171"/>
      <c r="E221" s="171">
        <f>+(E$47/D$47)-1</f>
        <v>6.666666666666667</v>
      </c>
      <c r="F221" s="171">
        <f>+(F$47/E$47)-1</f>
        <v>-1.6521739130434783</v>
      </c>
      <c r="G221" s="171">
        <f>+(G$47/F$47)-1</f>
        <v>-3.4</v>
      </c>
      <c r="H221" s="232"/>
      <c r="I221" s="171">
        <f>+(I$47/G$47)-1</f>
        <v>1.2152777777777777</v>
      </c>
      <c r="J221" s="171">
        <f>+(J$47/I$47)-1</f>
        <v>-1.103448275862069</v>
      </c>
      <c r="K221" s="171">
        <f>+(K$47/J$47)-1</f>
        <v>-3.5454545454545454</v>
      </c>
      <c r="L221" s="171">
        <f>+(L$47/K$47)-1</f>
        <v>0.75</v>
      </c>
      <c r="M221" s="232"/>
      <c r="N221" s="171">
        <f>+(N$47/L$47)-1</f>
        <v>-0.31292517006802723</v>
      </c>
      <c r="O221" s="171">
        <f>+(O$47/N$47)-1</f>
        <v>-0.63366336633663367</v>
      </c>
      <c r="P221" s="171">
        <f>+(P$47/O$47)-1</f>
        <v>2.810810810810811</v>
      </c>
      <c r="Q221" s="171">
        <f>+(Q$47/P$47)-1</f>
        <v>3.6453900709219855</v>
      </c>
      <c r="R221" s="232"/>
      <c r="S221" s="171">
        <f>+(S$47/Q$47)-1</f>
        <v>-0.72824427480916032</v>
      </c>
      <c r="T221" s="171">
        <f>+(T$47/S$47)-1</f>
        <v>-1</v>
      </c>
      <c r="U221" s="171" t="s">
        <v>240</v>
      </c>
      <c r="V221" s="171">
        <f>+(V$47/U$47)-1</f>
        <v>0.18892508143322484</v>
      </c>
      <c r="W221" s="232"/>
      <c r="X221" s="171">
        <f>+(X$47/V$47)-1</f>
        <v>-0.81095890410958904</v>
      </c>
      <c r="Y221" s="171">
        <f>+(Y$47/X$47)-1</f>
        <v>2.6086956521739131</v>
      </c>
      <c r="Z221" s="171">
        <f>+(Z$47/Y$47)-1</f>
        <v>-0.50200803212851408</v>
      </c>
      <c r="AA221" s="171">
        <f>+(AA$47/Z$47)-1</f>
        <v>3.274193548387097</v>
      </c>
      <c r="AB221" s="232"/>
      <c r="AC221" s="171">
        <f>+(AC$47/AA$47)-1</f>
        <v>-0.95094339622641511</v>
      </c>
      <c r="AD221" s="171">
        <f>+(AD$47/AC$47)-1</f>
        <v>5.9230769230769234</v>
      </c>
      <c r="AE221" s="171">
        <f>+(AE$47/AD$47)-1</f>
        <v>-0.54444444444444451</v>
      </c>
      <c r="AF221" s="171">
        <f>+(AF$47/AE$47)-1</f>
        <v>2.0121951219512195</v>
      </c>
      <c r="AG221" s="232"/>
      <c r="AH221" s="171">
        <f>+(AH$47/AF$47)-1</f>
        <v>-1.7813765182186234</v>
      </c>
      <c r="AI221" s="171">
        <f>+(AI$47/AH$47)-1</f>
        <v>-3.7409326424870466</v>
      </c>
      <c r="AJ221" s="171">
        <f>+(AJ$47/AI$47)-1</f>
        <v>-5.4820415879016982E-2</v>
      </c>
      <c r="AK221" s="171">
        <f>+(AK$47/AJ$47)-1</f>
        <v>-1.07</v>
      </c>
      <c r="AL221" s="232"/>
      <c r="AM221" s="171">
        <f>+(AM$47/AK$47)-1</f>
        <v>-7.371428571428571</v>
      </c>
      <c r="AN221" s="171">
        <f>+(AN$47/AM$47)-1</f>
        <v>-2.0358744394618835</v>
      </c>
      <c r="AO221" s="171">
        <f>+(AO$47/AN$47)-1</f>
        <v>-2.4199134199134198</v>
      </c>
      <c r="AP221" s="171">
        <f>+(AP$47/AO$47)-1</f>
        <v>-0.125</v>
      </c>
      <c r="AQ221" s="232"/>
      <c r="AR221" s="171">
        <f>+(AR$47/AP$47)-1</f>
        <v>-0.52961672473867594</v>
      </c>
      <c r="AS221" s="171">
        <f>+(AS$47/AR$47)-1</f>
        <v>-2.4370370370370371</v>
      </c>
      <c r="AT221" s="171">
        <f>+(AT$47/AS$47)-1</f>
        <v>7.7319587628865927E-2</v>
      </c>
      <c r="AU221" s="171">
        <f>+(AU$47/AT$47)-1</f>
        <v>-2.2488038277511961</v>
      </c>
      <c r="AV221" s="232"/>
      <c r="AW221" s="171">
        <f>+(AW$47/AU$47)-1</f>
        <v>-6.5134099616858232E-2</v>
      </c>
      <c r="AX221" s="171">
        <f>+(AX$47/AW$47)-1</f>
        <v>-0.67213114754098369</v>
      </c>
      <c r="AY221" s="171">
        <f>+(AY$47/AX$47)-1</f>
        <v>4.6375000000000002</v>
      </c>
      <c r="AZ221" s="171">
        <f>+(AZ$47/AY$47)-1</f>
        <v>-1.4478935698447892</v>
      </c>
      <c r="BA221" s="232"/>
      <c r="BB221" s="171">
        <f>+(BB$47/AZ$47)-1</f>
        <v>-4.5148514851485153</v>
      </c>
      <c r="BC221" s="171">
        <f>+(BC$47/BB$47)-1</f>
        <v>1.408450704225352</v>
      </c>
      <c r="BD221" s="171">
        <f>+(BD$47/BC$47)-1</f>
        <v>-0.37076023391812862</v>
      </c>
      <c r="BE221" s="171">
        <f>+(BE$47/BD$47)-1</f>
        <v>-2.3550185873605951</v>
      </c>
      <c r="BF221" s="232"/>
      <c r="BG221" s="171">
        <f>+(BG$47/BE$47)-1</f>
        <v>-1.1481481481481481</v>
      </c>
      <c r="BH221" s="171">
        <f>+(BH$47/BG$47)-1</f>
        <v>3.4398148148148149</v>
      </c>
      <c r="BI221" s="171">
        <f>+(BI$47/BH$47)-1</f>
        <v>-0.26173096976016685</v>
      </c>
      <c r="BJ221" s="171">
        <f>+(BJ$47/BI$47)-1</f>
        <v>-1.7909604519774012</v>
      </c>
      <c r="BK221" s="232"/>
      <c r="BL221" s="171">
        <f>+(BL$47/BJ$47)-1</f>
        <v>-3.4982142857142855</v>
      </c>
      <c r="BM221" s="171">
        <f>+(BM$47/BL$47)-1</f>
        <v>-0.58041458184417438</v>
      </c>
      <c r="BN221" s="171">
        <f>+(BN$47/BM$47)-1</f>
        <v>-2.0306643952299828</v>
      </c>
      <c r="BO221" s="171">
        <f>+(BO$47/BN$47)-1</f>
        <v>-3.9371900826446282</v>
      </c>
      <c r="BP221" s="232"/>
      <c r="BQ221" s="171">
        <f>+(BQ$47/BO$47)-1</f>
        <v>-1.1783905458638153</v>
      </c>
      <c r="BR221" s="171">
        <f>+(BR$47/BQ$47)-1</f>
        <v>2.1514195583596214</v>
      </c>
      <c r="BS221" s="171">
        <f>+(BS$47/BR$47)-1</f>
        <v>-1.9379379379379378</v>
      </c>
      <c r="BT221" s="171">
        <f>+(BT$47/BS$47)-1</f>
        <v>-0.19530416221985059</v>
      </c>
      <c r="BU221" s="232"/>
      <c r="BV221" s="171">
        <f>+(BV$47/BT$47)-1</f>
        <v>0</v>
      </c>
      <c r="BW221" s="171">
        <f>+(BW$47/BV$47)-1</f>
        <v>0</v>
      </c>
      <c r="BX221" s="171">
        <f>+(BX$47/BW$47)-1</f>
        <v>0</v>
      </c>
      <c r="BY221" s="171">
        <f>+(BY$47/BX$47)-1</f>
        <v>0</v>
      </c>
      <c r="BZ221" s="232"/>
      <c r="CA221" s="171">
        <f>+(CA$47/BY$47)-1</f>
        <v>0</v>
      </c>
      <c r="CB221" s="171">
        <f>+(CB$47/CA$47)-1</f>
        <v>0</v>
      </c>
      <c r="CC221" s="171">
        <f>+(CC$47/CB$47)-1</f>
        <v>0</v>
      </c>
      <c r="CD221" s="171">
        <f>+(CD$47/CC$47)-1</f>
        <v>0</v>
      </c>
      <c r="CE221" s="232"/>
    </row>
    <row r="222" spans="2:83" ht="5.25" hidden="1" customHeight="1">
      <c r="B222" s="206"/>
      <c r="C222" s="206"/>
      <c r="D222" s="189"/>
      <c r="E222" s="189" t="s">
        <v>0</v>
      </c>
      <c r="F222" s="189" t="s">
        <v>0</v>
      </c>
      <c r="G222" s="189" t="s">
        <v>0</v>
      </c>
      <c r="H222" s="189"/>
      <c r="I222" s="189" t="s">
        <v>0</v>
      </c>
      <c r="J222" s="189" t="s">
        <v>0</v>
      </c>
      <c r="K222" s="189" t="s">
        <v>0</v>
      </c>
      <c r="L222" s="189" t="s">
        <v>0</v>
      </c>
      <c r="M222" s="189"/>
      <c r="N222" s="189" t="s">
        <v>0</v>
      </c>
      <c r="O222" s="189" t="s">
        <v>0</v>
      </c>
      <c r="P222" s="189" t="s">
        <v>0</v>
      </c>
      <c r="Q222" s="189" t="s">
        <v>0</v>
      </c>
      <c r="R222" s="189"/>
      <c r="S222" s="189" t="s">
        <v>0</v>
      </c>
      <c r="T222" s="189" t="s">
        <v>0</v>
      </c>
      <c r="U222" s="189" t="s">
        <v>0</v>
      </c>
      <c r="V222" s="189" t="s">
        <v>0</v>
      </c>
      <c r="W222" s="189"/>
      <c r="X222" s="189" t="s">
        <v>0</v>
      </c>
      <c r="Y222" s="189" t="s">
        <v>0</v>
      </c>
      <c r="Z222" s="189" t="s">
        <v>0</v>
      </c>
      <c r="AA222" s="189" t="s">
        <v>0</v>
      </c>
      <c r="AB222" s="189"/>
      <c r="AC222" s="189" t="s">
        <v>0</v>
      </c>
      <c r="AD222" s="189" t="s">
        <v>0</v>
      </c>
      <c r="AE222" s="189" t="s">
        <v>0</v>
      </c>
      <c r="AF222" s="189" t="s">
        <v>0</v>
      </c>
      <c r="AG222" s="189"/>
      <c r="AH222" s="189" t="s">
        <v>0</v>
      </c>
      <c r="AI222" s="189" t="s">
        <v>0</v>
      </c>
      <c r="AJ222" s="189" t="s">
        <v>0</v>
      </c>
      <c r="AK222" s="189" t="s">
        <v>0</v>
      </c>
      <c r="AL222" s="189"/>
      <c r="AM222" s="189" t="s">
        <v>0</v>
      </c>
      <c r="AN222" s="189" t="s">
        <v>0</v>
      </c>
      <c r="AO222" s="189" t="s">
        <v>0</v>
      </c>
      <c r="AP222" s="189" t="s">
        <v>0</v>
      </c>
      <c r="AQ222" s="189"/>
      <c r="AR222" s="189" t="s">
        <v>0</v>
      </c>
      <c r="AS222" s="189" t="s">
        <v>0</v>
      </c>
      <c r="AT222" s="189" t="s">
        <v>0</v>
      </c>
      <c r="AU222" s="189" t="s">
        <v>0</v>
      </c>
      <c r="AV222" s="189"/>
      <c r="AW222" s="189" t="s">
        <v>0</v>
      </c>
      <c r="AX222" s="189" t="s">
        <v>0</v>
      </c>
      <c r="AY222" s="189" t="s">
        <v>0</v>
      </c>
      <c r="AZ222" s="189" t="s">
        <v>0</v>
      </c>
      <c r="BA222" s="189"/>
      <c r="BB222" s="189" t="s">
        <v>0</v>
      </c>
      <c r="BC222" s="189" t="s">
        <v>0</v>
      </c>
      <c r="BD222" s="189" t="s">
        <v>0</v>
      </c>
      <c r="BE222" s="189" t="s">
        <v>0</v>
      </c>
      <c r="BF222" s="189"/>
      <c r="BG222" s="189" t="s">
        <v>0</v>
      </c>
      <c r="BH222" s="189" t="s">
        <v>0</v>
      </c>
      <c r="BI222" s="189" t="s">
        <v>0</v>
      </c>
      <c r="BJ222" s="189" t="s">
        <v>0</v>
      </c>
      <c r="BK222" s="189"/>
      <c r="BL222" s="189" t="s">
        <v>0</v>
      </c>
      <c r="BM222" s="189" t="s">
        <v>0</v>
      </c>
      <c r="BN222" s="189" t="s">
        <v>0</v>
      </c>
      <c r="BO222" s="189" t="s">
        <v>0</v>
      </c>
      <c r="BP222" s="189"/>
      <c r="BQ222" s="189" t="s">
        <v>0</v>
      </c>
      <c r="BR222" s="189" t="s">
        <v>0</v>
      </c>
      <c r="BS222" s="189" t="s">
        <v>0</v>
      </c>
      <c r="BT222" s="189" t="s">
        <v>0</v>
      </c>
      <c r="BU222" s="189"/>
      <c r="BV222" s="189" t="s">
        <v>0</v>
      </c>
      <c r="BW222" s="189" t="s">
        <v>0</v>
      </c>
      <c r="BX222" s="189" t="s">
        <v>0</v>
      </c>
      <c r="BY222" s="189" t="s">
        <v>0</v>
      </c>
      <c r="BZ222" s="189"/>
      <c r="CA222" s="189" t="s">
        <v>0</v>
      </c>
      <c r="CB222" s="189" t="s">
        <v>0</v>
      </c>
      <c r="CC222" s="189" t="s">
        <v>0</v>
      </c>
      <c r="CD222" s="189" t="s">
        <v>0</v>
      </c>
      <c r="CE222" s="189"/>
    </row>
    <row r="223" spans="2:83" ht="13.35" hidden="1" customHeight="1">
      <c r="B223" s="206" t="s">
        <v>10</v>
      </c>
      <c r="C223" s="206"/>
      <c r="D223" s="171"/>
      <c r="E223" s="171">
        <f>+(E$49/D$49)-1</f>
        <v>0.11940298507462677</v>
      </c>
      <c r="F223" s="171">
        <f>+(F$49/E$49)-1</f>
        <v>4.2780952380952382</v>
      </c>
      <c r="G223" s="171">
        <f>+(G$49/F$49)-1</f>
        <v>-0.1605918440996017</v>
      </c>
      <c r="H223" s="232"/>
      <c r="I223" s="171">
        <f>+(I$49/G$49)-1</f>
        <v>-0.82115219260533134</v>
      </c>
      <c r="J223" s="171">
        <f>+(J$49/I$49)-1</f>
        <v>4.2956730769230766</v>
      </c>
      <c r="K223" s="171">
        <f>+(K$49/J$49)-1</f>
        <v>0.42532909668633678</v>
      </c>
      <c r="L223" s="171">
        <f>+(L$49/K$49)-1</f>
        <v>-0.40414012738853389</v>
      </c>
      <c r="M223" s="232"/>
      <c r="N223" s="171">
        <f>+(N$49/L$49)-1</f>
        <v>-1.6034206306807519E-3</v>
      </c>
      <c r="O223" s="171">
        <f>+(O$49/N$49)-1</f>
        <v>1.3340471092077086</v>
      </c>
      <c r="P223" s="171">
        <f>+(P$49/O$49)-1</f>
        <v>0.37270642201834869</v>
      </c>
      <c r="Q223" s="171">
        <f>+(Q$49/P$49)-1</f>
        <v>0.18496240601503766</v>
      </c>
      <c r="R223" s="232"/>
      <c r="S223" s="171">
        <f>+(S$49/Q$49)-1</f>
        <v>0.22927241962774958</v>
      </c>
      <c r="T223" s="171">
        <f>+(T$49/S$49)-1</f>
        <v>0.12663454920853412</v>
      </c>
      <c r="U223" s="171">
        <f>+(U$49/T$49)-1</f>
        <v>0.13469761759315824</v>
      </c>
      <c r="V223" s="171">
        <f>+(V$49/U$49)-1</f>
        <v>0.10623598026020642</v>
      </c>
      <c r="W223" s="232"/>
      <c r="X223" s="171">
        <f>+(X$49/V$49)-1</f>
        <v>1.0787574012490975E-2</v>
      </c>
      <c r="Y223" s="171">
        <f>+(Y$49/X$49)-1</f>
        <v>-5.3923928743379923E-2</v>
      </c>
      <c r="Z223" s="171">
        <f>+(Z$49/Y$49)-1</f>
        <v>0.12977099236641232</v>
      </c>
      <c r="AA223" s="171">
        <f>+(AA$49/Z$49)-1</f>
        <v>3.0180180180180205E-2</v>
      </c>
      <c r="AB223" s="232"/>
      <c r="AC223" s="171">
        <f>+(AC$49/AA$49)-1</f>
        <v>-9.3353738522081287E-2</v>
      </c>
      <c r="AD223" s="171">
        <f>+(AD$49/AC$49)-1</f>
        <v>0.27128044369423687</v>
      </c>
      <c r="AE223" s="171">
        <f>+(AE$49/AD$49)-1</f>
        <v>0.22338138593829027</v>
      </c>
      <c r="AF223" s="171">
        <f>+(AF$49/AE$49)-1</f>
        <v>-3.2042999638224323E-3</v>
      </c>
      <c r="AG223" s="232"/>
      <c r="AH223" s="171">
        <f>+(AH$49/AF$49)-1</f>
        <v>7.3106237361952875E-3</v>
      </c>
      <c r="AI223" s="171">
        <f>+(AI$49/AH$49)-1</f>
        <v>9.383364216594603E-2</v>
      </c>
      <c r="AJ223" s="171">
        <f>+(AJ$49/AI$49)-1</f>
        <v>0.26431697331890258</v>
      </c>
      <c r="AK223" s="171">
        <f>+(AK$49/AJ$49)-1</f>
        <v>-8.1211850528509766E-2</v>
      </c>
      <c r="AL223" s="232"/>
      <c r="AM223" s="171">
        <f>+(AM$49/AK$49)-1</f>
        <v>5.3066515433849215E-2</v>
      </c>
      <c r="AN223" s="171">
        <f>+(AN$49/AM$49)-1</f>
        <v>0.13182797353438991</v>
      </c>
      <c r="AO223" s="171">
        <f>+(AO$49/AN$49)-1</f>
        <v>0.16364748666009588</v>
      </c>
      <c r="AP223" s="171">
        <f>+(AP$49/AO$49)-1</f>
        <v>-4.9272737893568563E-2</v>
      </c>
      <c r="AQ223" s="232"/>
      <c r="AR223" s="171">
        <f>+(AR$49/AP$49)-1</f>
        <v>3.6342969494024713E-2</v>
      </c>
      <c r="AS223" s="171">
        <f>+(AS$49/AR$49)-1</f>
        <v>0.1281792849943677</v>
      </c>
      <c r="AT223" s="171">
        <f>+(AT$49/AS$49)-1</f>
        <v>4.3854117399758197E-2</v>
      </c>
      <c r="AU223" s="171">
        <f>+(AU$49/AT$49)-1</f>
        <v>-7.2645807637123361E-2</v>
      </c>
      <c r="AV223" s="232"/>
      <c r="AW223" s="171">
        <f>+(AW$49/AU$49)-1</f>
        <v>2.1687793490947627E-2</v>
      </c>
      <c r="AX223" s="171">
        <f>+(AX$49/AW$49)-1</f>
        <v>6.3974495217853367E-2</v>
      </c>
      <c r="AY223" s="171">
        <f>+(AY$49/AX$49)-1</f>
        <v>7.8181182580902897E-2</v>
      </c>
      <c r="AZ223" s="171">
        <f>+(AZ$49/AY$49)-1</f>
        <v>-9.4721971328655119E-3</v>
      </c>
      <c r="BA223" s="232"/>
      <c r="BB223" s="171">
        <f>+(BB$49/AZ$49)-1</f>
        <v>9.4084638765489892E-2</v>
      </c>
      <c r="BC223" s="171">
        <f>+(BC$49/BB$49)-1</f>
        <v>-8.0779587126554864E-3</v>
      </c>
      <c r="BD223" s="171">
        <f>+(BD$49/BC$49)-1</f>
        <v>4.4359703550499896E-2</v>
      </c>
      <c r="BE223" s="171">
        <f>+(BE$49/BD$49)-1</f>
        <v>5.4337287261474909E-2</v>
      </c>
      <c r="BF223" s="232"/>
      <c r="BG223" s="171">
        <f>+(BG$49/BE$49)-1</f>
        <v>5.9774208065115797E-2</v>
      </c>
      <c r="BH223" s="171">
        <f>+(BH$49/BG$49)-1</f>
        <v>0.15305368879698689</v>
      </c>
      <c r="BI223" s="171">
        <f>+(BI$49/BH$49)-1</f>
        <v>7.7865308867326455E-2</v>
      </c>
      <c r="BJ223" s="171">
        <f>+(BJ$49/BI$49)-1</f>
        <v>-6.4619635456125701E-3</v>
      </c>
      <c r="BK223" s="232"/>
      <c r="BL223" s="171">
        <f>+(BL$49/BJ$49)-1</f>
        <v>3.5973804611106219E-2</v>
      </c>
      <c r="BM223" s="171">
        <f>+(BM$49/BL$49)-1</f>
        <v>3.9732709848747216E-2</v>
      </c>
      <c r="BN223" s="171">
        <f>+(BN$49/BM$49)-1</f>
        <v>1.8600519148818107E-2</v>
      </c>
      <c r="BO223" s="171">
        <f>+(BO$49/BN$49)-1</f>
        <v>2.4079802673716566E-2</v>
      </c>
      <c r="BP223" s="232"/>
      <c r="BQ223" s="171">
        <f>+(BQ$49/BO$49)-1</f>
        <v>3.4851226912226529E-2</v>
      </c>
      <c r="BR223" s="171">
        <f>+(BR$49/BQ$49)-1</f>
        <v>-3.459050754175963E-3</v>
      </c>
      <c r="BS223" s="171">
        <f>+(BS$49/BR$49)-1</f>
        <v>0.10155100776794246</v>
      </c>
      <c r="BT223" s="171">
        <f>+(BT$49/BS$49)-1</f>
        <v>4.0998969168775101E-3</v>
      </c>
      <c r="BU223" s="232"/>
      <c r="BV223" s="171">
        <f>+(BV$49/BT$49)-1</f>
        <v>-6.0480195524860614E-2</v>
      </c>
      <c r="BW223" s="171">
        <f>+(BW$49/BV$49)-1</f>
        <v>-1.1638129354612947E-2</v>
      </c>
      <c r="BX223" s="171">
        <f>+(BX$49/BW$49)-1</f>
        <v>2.7014063230820451E-2</v>
      </c>
      <c r="BY223" s="171">
        <f>+(BY$49/BX$49)-1</f>
        <v>-1.3967289328051802E-3</v>
      </c>
      <c r="BZ223" s="232"/>
      <c r="CA223" s="171">
        <f>+(CA$49/BY$49)-1</f>
        <v>2.6443611616857154E-2</v>
      </c>
      <c r="CB223" s="171">
        <f>+(CB$49/CA$49)-1</f>
        <v>2.0478854961533344E-2</v>
      </c>
      <c r="CC223" s="171">
        <f>+(CC$49/CB$49)-1</f>
        <v>3.9122540746157064E-2</v>
      </c>
      <c r="CD223" s="171">
        <f>+(CD$49/CC$49)-1</f>
        <v>4.7275326351448266E-2</v>
      </c>
      <c r="CE223" s="232"/>
    </row>
    <row r="224" spans="2:83" ht="3.75" hidden="1" customHeight="1">
      <c r="B224" s="206"/>
      <c r="C224" s="206"/>
      <c r="D224" s="171"/>
      <c r="E224" s="171"/>
      <c r="F224" s="171"/>
      <c r="G224" s="171"/>
      <c r="H224" s="232"/>
      <c r="I224" s="171"/>
      <c r="J224" s="171"/>
      <c r="K224" s="171"/>
      <c r="L224" s="171"/>
      <c r="M224" s="232"/>
      <c r="N224" s="171"/>
      <c r="O224" s="171"/>
      <c r="P224" s="171"/>
      <c r="Q224" s="171"/>
      <c r="R224" s="232"/>
      <c r="S224" s="171"/>
      <c r="T224" s="171"/>
      <c r="U224" s="171"/>
      <c r="V224" s="171"/>
      <c r="W224" s="232"/>
      <c r="X224" s="171"/>
      <c r="Y224" s="171"/>
      <c r="Z224" s="171"/>
      <c r="AA224" s="171"/>
      <c r="AB224" s="232"/>
      <c r="AC224" s="171"/>
      <c r="AD224" s="171"/>
      <c r="AE224" s="171"/>
      <c r="AF224" s="171"/>
      <c r="AG224" s="232"/>
      <c r="AH224" s="171"/>
      <c r="AI224" s="171"/>
      <c r="AJ224" s="171"/>
      <c r="AK224" s="171"/>
      <c r="AL224" s="232"/>
      <c r="AM224" s="171"/>
      <c r="AN224" s="171"/>
      <c r="AO224" s="171"/>
      <c r="AP224" s="171"/>
      <c r="AQ224" s="232"/>
      <c r="AR224" s="171"/>
      <c r="AS224" s="171"/>
      <c r="AT224" s="171"/>
      <c r="AU224" s="171"/>
      <c r="AV224" s="232"/>
      <c r="AW224" s="171"/>
      <c r="AX224" s="171"/>
      <c r="AY224" s="171"/>
      <c r="AZ224" s="171"/>
      <c r="BA224" s="232"/>
      <c r="BB224" s="171"/>
      <c r="BC224" s="171"/>
      <c r="BD224" s="171"/>
      <c r="BE224" s="171"/>
      <c r="BF224" s="232"/>
      <c r="BG224" s="171"/>
      <c r="BH224" s="171"/>
      <c r="BI224" s="171"/>
      <c r="BJ224" s="171"/>
      <c r="BK224" s="232"/>
      <c r="BL224" s="171"/>
      <c r="BM224" s="171"/>
      <c r="BN224" s="171"/>
      <c r="BO224" s="171"/>
      <c r="BP224" s="232"/>
      <c r="BQ224" s="171"/>
      <c r="BR224" s="171"/>
      <c r="BS224" s="171"/>
      <c r="BT224" s="171"/>
      <c r="BU224" s="232"/>
      <c r="BV224" s="171"/>
      <c r="BW224" s="171"/>
      <c r="BX224" s="171"/>
      <c r="BY224" s="171"/>
      <c r="BZ224" s="232"/>
      <c r="CA224" s="171"/>
      <c r="CB224" s="171"/>
      <c r="CC224" s="171"/>
      <c r="CD224" s="171"/>
      <c r="CE224" s="232"/>
    </row>
    <row r="225" spans="2:83" ht="8.25" hidden="1" customHeight="1">
      <c r="B225" s="206"/>
      <c r="C225" s="206"/>
      <c r="D225" s="171"/>
      <c r="E225" s="171"/>
      <c r="F225" s="171"/>
      <c r="G225" s="171"/>
      <c r="H225" s="232"/>
      <c r="I225" s="171"/>
      <c r="J225" s="171"/>
      <c r="K225" s="171"/>
      <c r="L225" s="171"/>
      <c r="M225" s="232"/>
      <c r="N225" s="171"/>
      <c r="O225" s="171"/>
      <c r="P225" s="171"/>
      <c r="Q225" s="171"/>
      <c r="R225" s="232"/>
      <c r="S225" s="171"/>
      <c r="T225" s="171"/>
      <c r="U225" s="171"/>
      <c r="V225" s="171"/>
      <c r="W225" s="232"/>
      <c r="X225" s="171"/>
      <c r="Y225" s="171"/>
      <c r="Z225" s="171"/>
      <c r="AA225" s="171"/>
      <c r="AB225" s="232"/>
      <c r="AC225" s="171"/>
      <c r="AD225" s="171"/>
      <c r="AE225" s="171"/>
      <c r="AF225" s="171"/>
      <c r="AG225" s="232"/>
      <c r="AH225" s="171"/>
      <c r="AI225" s="171"/>
      <c r="AJ225" s="171"/>
      <c r="AK225" s="171"/>
      <c r="AL225" s="232"/>
      <c r="AM225" s="171"/>
      <c r="AN225" s="171"/>
      <c r="AO225" s="171"/>
      <c r="AP225" s="171"/>
      <c r="AQ225" s="232"/>
      <c r="AR225" s="171"/>
      <c r="AS225" s="171"/>
      <c r="AT225" s="171"/>
      <c r="AU225" s="171"/>
      <c r="AV225" s="232"/>
      <c r="AW225" s="171"/>
      <c r="AX225" s="171"/>
      <c r="AY225" s="171"/>
      <c r="AZ225" s="171"/>
      <c r="BA225" s="232"/>
      <c r="BB225" s="171"/>
      <c r="BC225" s="171"/>
      <c r="BD225" s="171"/>
      <c r="BE225" s="171"/>
      <c r="BF225" s="232"/>
      <c r="BG225" s="171"/>
      <c r="BH225" s="171"/>
      <c r="BI225" s="171"/>
      <c r="BJ225" s="171"/>
      <c r="BK225" s="232"/>
      <c r="BL225" s="171"/>
      <c r="BM225" s="171"/>
      <c r="BN225" s="171"/>
      <c r="BO225" s="171"/>
      <c r="BP225" s="232"/>
      <c r="BQ225" s="171"/>
      <c r="BR225" s="171"/>
      <c r="BS225" s="171"/>
      <c r="BT225" s="171"/>
      <c r="BU225" s="232"/>
      <c r="BV225" s="171"/>
      <c r="BW225" s="171"/>
      <c r="BX225" s="171"/>
      <c r="BY225" s="171"/>
      <c r="BZ225" s="232"/>
      <c r="CA225" s="171"/>
      <c r="CB225" s="171"/>
      <c r="CC225" s="171"/>
      <c r="CD225" s="171"/>
      <c r="CE225" s="232"/>
    </row>
    <row r="226" spans="2:83" ht="12.6" customHeight="1">
      <c r="B226" s="186"/>
      <c r="C226" s="214"/>
      <c r="D226" s="171"/>
      <c r="E226" s="171"/>
      <c r="F226" s="171"/>
      <c r="G226" s="171"/>
      <c r="H226" s="232"/>
      <c r="I226" s="171"/>
      <c r="J226" s="171"/>
      <c r="K226" s="171"/>
      <c r="L226" s="171"/>
      <c r="M226" s="232"/>
      <c r="N226" s="171"/>
      <c r="O226" s="171"/>
      <c r="P226" s="171"/>
      <c r="Q226" s="171"/>
      <c r="R226" s="232"/>
      <c r="S226" s="171"/>
      <c r="T226" s="171"/>
      <c r="U226" s="171"/>
      <c r="V226" s="171"/>
      <c r="W226" s="232"/>
      <c r="X226" s="171"/>
      <c r="Y226" s="171"/>
      <c r="Z226" s="171"/>
      <c r="AA226" s="171"/>
      <c r="AB226" s="232"/>
      <c r="AC226" s="171"/>
      <c r="AD226" s="171"/>
      <c r="AE226" s="171"/>
      <c r="AF226" s="171"/>
      <c r="AG226" s="232"/>
      <c r="AH226" s="171"/>
      <c r="AI226" s="171"/>
      <c r="AJ226" s="171"/>
      <c r="AK226" s="171"/>
      <c r="AL226" s="232"/>
      <c r="AM226" s="171"/>
      <c r="AN226" s="171"/>
      <c r="AO226" s="171"/>
      <c r="AP226" s="171"/>
      <c r="AQ226" s="232"/>
      <c r="AR226" s="171"/>
      <c r="AS226" s="171"/>
      <c r="AT226" s="171"/>
      <c r="AU226" s="171"/>
      <c r="AV226" s="232"/>
      <c r="AW226" s="171"/>
      <c r="AX226" s="171"/>
      <c r="AY226" s="171"/>
      <c r="AZ226" s="171"/>
      <c r="BA226" s="232"/>
      <c r="BB226" s="171"/>
      <c r="BC226" s="171"/>
      <c r="BD226" s="171"/>
      <c r="BE226" s="171"/>
      <c r="BF226" s="232"/>
      <c r="BG226" s="171"/>
      <c r="BH226" s="171"/>
      <c r="BI226" s="171"/>
      <c r="BJ226" s="171"/>
      <c r="BK226" s="232"/>
      <c r="BL226" s="171"/>
      <c r="BM226" s="171"/>
      <c r="BN226" s="171"/>
      <c r="BO226" s="171"/>
      <c r="BP226" s="232"/>
      <c r="BQ226" s="171"/>
      <c r="BR226" s="171"/>
      <c r="BS226" s="171"/>
      <c r="BT226" s="171"/>
      <c r="BU226" s="232"/>
      <c r="BV226" s="171"/>
      <c r="BW226" s="171"/>
      <c r="BX226" s="171"/>
      <c r="BY226" s="171"/>
      <c r="BZ226" s="232"/>
      <c r="CA226" s="171"/>
      <c r="CB226" s="171"/>
      <c r="CC226" s="171"/>
      <c r="CD226" s="171"/>
      <c r="CE226" s="232"/>
    </row>
    <row r="227" spans="2:83" ht="12.6" customHeight="1">
      <c r="B227" s="206" t="s">
        <v>17</v>
      </c>
      <c r="C227" s="206"/>
      <c r="D227" s="171"/>
      <c r="E227" s="171">
        <f>+(E$53/D$53)-1</f>
        <v>-2</v>
      </c>
      <c r="F227" s="171">
        <f>+(F$53/E$53)-1</f>
        <v>-1.9871794871794872</v>
      </c>
      <c r="G227" s="171">
        <f>+(G$53/F$53)-1</f>
        <v>2.6493506493506493</v>
      </c>
      <c r="H227" s="232"/>
      <c r="I227" s="171">
        <f>+(I$53/G$53)-1</f>
        <v>-0.75088967971530252</v>
      </c>
      <c r="J227" s="171">
        <f>+(J$53/I$53)-1</f>
        <v>0.31428571428571428</v>
      </c>
      <c r="K227" s="171">
        <f>+(K$53/J$53)-1</f>
        <v>1.2826086956521738</v>
      </c>
      <c r="L227" s="171">
        <f>+(L$53/K$53)-1</f>
        <v>-0.39047619047619042</v>
      </c>
      <c r="M227" s="232"/>
      <c r="N227" s="171">
        <f>+(N$53/L$53)-1</f>
        <v>0.421875</v>
      </c>
      <c r="O227" s="171">
        <f>+(O$53/N$53)-1</f>
        <v>-4.3956043956043911E-2</v>
      </c>
      <c r="P227" s="171">
        <f>+(P$53/O$53)-1</f>
        <v>0.62643678160919536</v>
      </c>
      <c r="Q227" s="171">
        <f>+(Q$53/P$53)-1</f>
        <v>4.1978798586572434</v>
      </c>
      <c r="R227" s="232"/>
      <c r="S227" s="171">
        <f>+(S$53/Q$53)-1</f>
        <v>1.1570360299116249</v>
      </c>
      <c r="T227" s="171">
        <f>+(T$53/S$53)-1</f>
        <v>0.12700913961550575</v>
      </c>
      <c r="U227" s="171">
        <f>+(U$53/T$53)-1</f>
        <v>0.13422818791946312</v>
      </c>
      <c r="V227" s="171">
        <f>+(V$53/U$53)-1</f>
        <v>0.10650887573964507</v>
      </c>
      <c r="W227" s="232"/>
      <c r="X227" s="171">
        <f>+(X$53/V$53)-1</f>
        <v>-4.4563279857379179E-4</v>
      </c>
      <c r="Y227" s="171">
        <f>+(Y$53/X$53)-1</f>
        <v>-5.3945608559964553E-2</v>
      </c>
      <c r="Z227" s="171">
        <f>+(Z$53/Y$53)-1</f>
        <v>0.13006597549481613</v>
      </c>
      <c r="AA227" s="171">
        <f>+(AA$53/Z$53)-1</f>
        <v>3.0025020850708684E-2</v>
      </c>
      <c r="AB227" s="232"/>
      <c r="AC227" s="171">
        <f>+(AC$53/AA$53)-1</f>
        <v>-9.331983805667976E-2</v>
      </c>
      <c r="AD227" s="171">
        <f>+(AD$53/AC$53)-1</f>
        <v>0.27126590756865343</v>
      </c>
      <c r="AE227" s="171">
        <f>+(AE$53/AD$53)-1</f>
        <v>0.22339304531085347</v>
      </c>
      <c r="AF227" s="171">
        <f>+(AF$53/AE$53)-1</f>
        <v>-9.9339649727246626E-2</v>
      </c>
      <c r="AG227" s="232"/>
      <c r="AH227" s="171">
        <f>+(AH$53/AF$53)-1</f>
        <v>-0.28785463818935286</v>
      </c>
      <c r="AI227" s="171">
        <f>+(AI$53/AH$53)-1</f>
        <v>9.4001790510295447E-2</v>
      </c>
      <c r="AJ227" s="171">
        <f>+(AJ$53/AI$53)-1</f>
        <v>0.26452536824877249</v>
      </c>
      <c r="AK227" s="171">
        <f>+(AK$53/AJ$53)-1</f>
        <v>-0.45801650218411261</v>
      </c>
      <c r="AL227" s="232"/>
      <c r="AM227" s="171">
        <f>+(AM$53/AK$53)-1</f>
        <v>0.70597014925373136</v>
      </c>
      <c r="AN227" s="171">
        <f>+(AN$53/AM$53)-1</f>
        <v>0.13420822397200349</v>
      </c>
      <c r="AO227" s="171">
        <f>+(AO$53/AN$53)-1</f>
        <v>0.16337550138846035</v>
      </c>
      <c r="AP227" s="171">
        <f>+(AP$53/AO$53)-1</f>
        <v>-7.121071475931573E-2</v>
      </c>
      <c r="AQ227" s="232"/>
      <c r="AR227" s="171">
        <f>+(AR$53/AP$53)-1</f>
        <v>1.2707024557395696E-2</v>
      </c>
      <c r="AS227" s="171">
        <f>+(AS$53/AR$53)-1</f>
        <v>9.5728182715353105E-2</v>
      </c>
      <c r="AT227" s="171">
        <f>+(AT$53/AS$53)-1</f>
        <v>7.2310859495625213E-2</v>
      </c>
      <c r="AU227" s="171">
        <f>+(AU$53/AT$53)-1</f>
        <v>-1.5478761699064036E-2</v>
      </c>
      <c r="AV227" s="232"/>
      <c r="AW227" s="171">
        <f>+(AW$53/AU$53)-1</f>
        <v>-3.9853747714808097E-2</v>
      </c>
      <c r="AX227" s="171">
        <f>+(AX$53/AW$53)-1</f>
        <v>7.1591774562071553E-2</v>
      </c>
      <c r="AY227" s="171">
        <f>+(AY$53/AX$53)-1</f>
        <v>6.9059464581852748E-2</v>
      </c>
      <c r="AZ227" s="171">
        <f>+(AZ$53/AY$53)-1</f>
        <v>-6.6481994459832716E-4</v>
      </c>
      <c r="BA227" s="232"/>
      <c r="BB227" s="171">
        <f>+(BB$53/AZ$53)-1</f>
        <v>0.24514912961525659</v>
      </c>
      <c r="BC227" s="171">
        <f>+(BC$53/BB$53)-1</f>
        <v>-7.5690115761353205E-3</v>
      </c>
      <c r="BD227" s="171">
        <f>+(BD$53/BC$53)-1</f>
        <v>4.4145356662180335E-2</v>
      </c>
      <c r="BE227" s="171">
        <f>+(BE$53/BD$53)-1</f>
        <v>5.3364269141531251E-2</v>
      </c>
      <c r="BF227" s="232"/>
      <c r="BG227" s="171">
        <f>+(BG$53/BE$53)-1</f>
        <v>5.9716103768967299E-2</v>
      </c>
      <c r="BH227" s="171">
        <f>+(BH$53/BG$53)-1</f>
        <v>0.154657428791378</v>
      </c>
      <c r="BI227" s="171">
        <f>+(BI$53/BH$53)-1</f>
        <v>-0.29081938795919726</v>
      </c>
      <c r="BJ227" s="171">
        <f>+(BJ$53/BI$53)-1</f>
        <v>0.32039108771270097</v>
      </c>
      <c r="BK227" s="232"/>
      <c r="BL227" s="171">
        <f>+(BL$53/BJ$53)-1</f>
        <v>3.5955856176575374E-2</v>
      </c>
      <c r="BM227" s="171">
        <f>+(BM$53/BL$53)-1</f>
        <v>3.9793814432989683E-2</v>
      </c>
      <c r="BN227" s="171">
        <f>+(BN$53/BM$53)-1</f>
        <v>1.857360037014999E-2</v>
      </c>
      <c r="BO227" s="171">
        <f>+(BO$53/BN$53)-1</f>
        <v>2.4075275794938289E-2</v>
      </c>
      <c r="BP227" s="232"/>
      <c r="BQ227" s="171">
        <f>+(BQ$53/BO$53)-1</f>
        <v>3.4154996514796254E-2</v>
      </c>
      <c r="BR227" s="171">
        <f>+(BR$53/BQ$53)-1</f>
        <v>-2.0833333333333259E-3</v>
      </c>
      <c r="BS227" s="171">
        <f>+(BS$53/BR$53)-1</f>
        <v>0.10076139015105001</v>
      </c>
      <c r="BT227" s="171">
        <f>+(BT$53/BS$53)-1</f>
        <v>4.239415406928071E-3</v>
      </c>
      <c r="BU227" s="232"/>
      <c r="BV227" s="171">
        <f>+(BV$53/BT$53)-1</f>
        <v>-0.10532957173804369</v>
      </c>
      <c r="BW227" s="171">
        <f>+(BW$53/BV$53)-1</f>
        <v>-1.1638129354612836E-2</v>
      </c>
      <c r="BX227" s="171">
        <f>+(BX$53/BW$53)-1</f>
        <v>2.7014063230820229E-2</v>
      </c>
      <c r="BY227" s="171">
        <f>+(BY$53/BX$53)-1</f>
        <v>-1.3967289328050692E-3</v>
      </c>
      <c r="BZ227" s="232"/>
      <c r="CA227" s="171">
        <f>+(CA$53/BY$53)-1</f>
        <v>2.6443611616857154E-2</v>
      </c>
      <c r="CB227" s="171">
        <f>+(CB$53/CA$53)-1</f>
        <v>2.0478854961533344E-2</v>
      </c>
      <c r="CC227" s="171">
        <f>+(CC$53/CB$53)-1</f>
        <v>3.9122540746157064E-2</v>
      </c>
      <c r="CD227" s="171">
        <f>+(CD$53/CC$53)-1</f>
        <v>4.7275326351448266E-2</v>
      </c>
      <c r="CE227" s="232"/>
    </row>
    <row r="228" spans="2:83" ht="13.35" hidden="1" customHeight="1">
      <c r="B228" s="186"/>
      <c r="C228" s="218"/>
      <c r="D228" s="171"/>
      <c r="E228" s="171"/>
      <c r="F228" s="171"/>
      <c r="G228" s="171"/>
      <c r="H228" s="232"/>
      <c r="I228" s="171"/>
      <c r="J228" s="171"/>
      <c r="K228" s="171"/>
      <c r="L228" s="171"/>
      <c r="M228" s="232"/>
      <c r="N228" s="171"/>
      <c r="O228" s="171"/>
      <c r="P228" s="171"/>
      <c r="Q228" s="171"/>
      <c r="R228" s="232"/>
      <c r="S228" s="171"/>
      <c r="T228" s="171"/>
      <c r="U228" s="171"/>
      <c r="V228" s="171"/>
      <c r="W228" s="232"/>
      <c r="X228" s="171"/>
      <c r="Y228" s="171"/>
      <c r="Z228" s="171"/>
      <c r="AA228" s="171"/>
      <c r="AB228" s="232"/>
      <c r="AC228" s="171"/>
      <c r="AD228" s="171"/>
      <c r="AE228" s="171"/>
      <c r="AF228" s="171"/>
      <c r="AG228" s="232"/>
      <c r="AH228" s="171"/>
      <c r="AI228" s="171"/>
      <c r="AJ228" s="171"/>
      <c r="AK228" s="171"/>
      <c r="AL228" s="232"/>
      <c r="AM228" s="171"/>
      <c r="AN228" s="171"/>
      <c r="AO228" s="171"/>
      <c r="AP228" s="171"/>
      <c r="AQ228" s="232"/>
      <c r="AR228" s="171"/>
      <c r="AS228" s="171"/>
      <c r="AT228" s="171"/>
      <c r="AU228" s="171"/>
      <c r="AV228" s="232"/>
      <c r="AW228" s="171"/>
      <c r="AX228" s="171"/>
      <c r="AY228" s="171"/>
      <c r="AZ228" s="171"/>
      <c r="BA228" s="232"/>
      <c r="BB228" s="171"/>
      <c r="BC228" s="171"/>
      <c r="BD228" s="171"/>
      <c r="BE228" s="171"/>
      <c r="BF228" s="232"/>
      <c r="BG228" s="171"/>
      <c r="BH228" s="171"/>
      <c r="BI228" s="171"/>
      <c r="BJ228" s="171"/>
      <c r="BK228" s="232"/>
      <c r="BL228" s="171"/>
      <c r="BM228" s="171"/>
      <c r="BN228" s="171"/>
      <c r="BO228" s="171"/>
      <c r="BP228" s="232"/>
      <c r="BQ228" s="171"/>
      <c r="BR228" s="171"/>
      <c r="BS228" s="171"/>
      <c r="BT228" s="171"/>
      <c r="BU228" s="232"/>
      <c r="BV228" s="171"/>
      <c r="BW228" s="171"/>
      <c r="BX228" s="171"/>
      <c r="BY228" s="171"/>
      <c r="BZ228" s="232"/>
      <c r="CA228" s="171"/>
      <c r="CB228" s="171"/>
      <c r="CC228" s="171"/>
      <c r="CD228" s="171"/>
      <c r="CE228" s="232"/>
    </row>
    <row r="229" spans="2:83" ht="5.25" hidden="1" customHeight="1">
      <c r="B229" s="206"/>
      <c r="C229" s="206"/>
      <c r="D229" s="189"/>
      <c r="E229" s="189" t="s">
        <v>0</v>
      </c>
      <c r="F229" s="189" t="s">
        <v>0</v>
      </c>
      <c r="G229" s="189" t="s">
        <v>0</v>
      </c>
      <c r="H229" s="189"/>
      <c r="I229" s="189" t="s">
        <v>0</v>
      </c>
      <c r="J229" s="189" t="s">
        <v>0</v>
      </c>
      <c r="K229" s="189" t="s">
        <v>0</v>
      </c>
      <c r="L229" s="189" t="s">
        <v>0</v>
      </c>
      <c r="M229" s="189"/>
      <c r="N229" s="189" t="s">
        <v>0</v>
      </c>
      <c r="O229" s="189" t="s">
        <v>0</v>
      </c>
      <c r="P229" s="189" t="s">
        <v>0</v>
      </c>
      <c r="Q229" s="189" t="s">
        <v>0</v>
      </c>
      <c r="R229" s="189"/>
      <c r="S229" s="189" t="s">
        <v>0</v>
      </c>
      <c r="T229" s="189" t="s">
        <v>0</v>
      </c>
      <c r="U229" s="189" t="s">
        <v>0</v>
      </c>
      <c r="V229" s="189" t="s">
        <v>0</v>
      </c>
      <c r="W229" s="189"/>
      <c r="X229" s="189" t="s">
        <v>0</v>
      </c>
      <c r="Y229" s="189" t="s">
        <v>0</v>
      </c>
      <c r="Z229" s="189" t="s">
        <v>0</v>
      </c>
      <c r="AA229" s="189" t="s">
        <v>0</v>
      </c>
      <c r="AB229" s="189"/>
      <c r="AC229" s="189" t="s">
        <v>0</v>
      </c>
      <c r="AD229" s="189" t="s">
        <v>0</v>
      </c>
      <c r="AE229" s="189" t="s">
        <v>0</v>
      </c>
      <c r="AF229" s="189" t="s">
        <v>0</v>
      </c>
      <c r="AG229" s="189"/>
      <c r="AH229" s="189" t="s">
        <v>0</v>
      </c>
      <c r="AI229" s="189" t="s">
        <v>0</v>
      </c>
      <c r="AJ229" s="189" t="s">
        <v>0</v>
      </c>
      <c r="AK229" s="189" t="s">
        <v>0</v>
      </c>
      <c r="AL229" s="189"/>
      <c r="AM229" s="189" t="s">
        <v>0</v>
      </c>
      <c r="AN229" s="189" t="s">
        <v>0</v>
      </c>
      <c r="AO229" s="189" t="s">
        <v>0</v>
      </c>
      <c r="AP229" s="189" t="s">
        <v>0</v>
      </c>
      <c r="AQ229" s="189"/>
      <c r="AR229" s="189" t="s">
        <v>0</v>
      </c>
      <c r="AS229" s="189" t="s">
        <v>0</v>
      </c>
      <c r="AT229" s="189" t="s">
        <v>0</v>
      </c>
      <c r="AU229" s="189" t="s">
        <v>0</v>
      </c>
      <c r="AV229" s="189"/>
      <c r="AW229" s="189" t="s">
        <v>0</v>
      </c>
      <c r="AX229" s="189" t="s">
        <v>0</v>
      </c>
      <c r="AY229" s="189" t="s">
        <v>0</v>
      </c>
      <c r="AZ229" s="189" t="s">
        <v>0</v>
      </c>
      <c r="BA229" s="189"/>
      <c r="BB229" s="189" t="s">
        <v>0</v>
      </c>
      <c r="BC229" s="189" t="s">
        <v>0</v>
      </c>
      <c r="BD229" s="189" t="s">
        <v>0</v>
      </c>
      <c r="BE229" s="189" t="s">
        <v>0</v>
      </c>
      <c r="BF229" s="189"/>
      <c r="BG229" s="189" t="s">
        <v>0</v>
      </c>
      <c r="BH229" s="189" t="s">
        <v>0</v>
      </c>
      <c r="BI229" s="189" t="s">
        <v>0</v>
      </c>
      <c r="BJ229" s="189" t="s">
        <v>0</v>
      </c>
      <c r="BK229" s="189"/>
      <c r="BL229" s="189" t="s">
        <v>0</v>
      </c>
      <c r="BM229" s="189" t="s">
        <v>0</v>
      </c>
      <c r="BN229" s="189" t="s">
        <v>0</v>
      </c>
      <c r="BO229" s="189" t="s">
        <v>0</v>
      </c>
      <c r="BP229" s="189"/>
      <c r="BQ229" s="189" t="s">
        <v>0</v>
      </c>
      <c r="BR229" s="189" t="s">
        <v>0</v>
      </c>
      <c r="BS229" s="189" t="s">
        <v>0</v>
      </c>
      <c r="BT229" s="189" t="s">
        <v>0</v>
      </c>
      <c r="BU229" s="189"/>
      <c r="BV229" s="189" t="s">
        <v>0</v>
      </c>
      <c r="BW229" s="189" t="s">
        <v>0</v>
      </c>
      <c r="BX229" s="189" t="s">
        <v>0</v>
      </c>
      <c r="BY229" s="189" t="s">
        <v>0</v>
      </c>
      <c r="BZ229" s="189"/>
      <c r="CA229" s="189" t="s">
        <v>0</v>
      </c>
      <c r="CB229" s="189" t="s">
        <v>0</v>
      </c>
      <c r="CC229" s="189" t="s">
        <v>0</v>
      </c>
      <c r="CD229" s="189" t="s">
        <v>0</v>
      </c>
      <c r="CE229" s="189"/>
    </row>
    <row r="230" spans="2:83" s="10" customFormat="1" ht="13.35" hidden="1" customHeight="1">
      <c r="B230" s="212" t="s">
        <v>140</v>
      </c>
      <c r="C230" s="212"/>
      <c r="D230" s="180"/>
      <c r="E230" s="180">
        <f>+(E$56/D$56)-1</f>
        <v>0.5421994884910486</v>
      </c>
      <c r="F230" s="180">
        <f>+(F$56/E$56)-1</f>
        <v>3.4676616915422889</v>
      </c>
      <c r="G230" s="180">
        <f>+(G$56/F$56)-1</f>
        <v>-0.24090571640682867</v>
      </c>
      <c r="H230" s="231"/>
      <c r="I230" s="180">
        <f>+(I$56/G$56)-1</f>
        <v>-0.83080684596577048</v>
      </c>
      <c r="J230" s="180">
        <f>+(J$56/I$56)-1</f>
        <v>5.101156069364162</v>
      </c>
      <c r="K230" s="180">
        <f>+(K$56/J$56)-1</f>
        <v>0.3879677877783041</v>
      </c>
      <c r="L230" s="180">
        <f>+(L$56/K$56)-1</f>
        <v>-0.40511945392491344</v>
      </c>
      <c r="M230" s="231"/>
      <c r="N230" s="180">
        <f>+(N$56/L$56)-1</f>
        <v>-3.2702237521516686E-2</v>
      </c>
      <c r="O230" s="180">
        <f>+(O$56/N$56)-1</f>
        <v>1.4827995255041517</v>
      </c>
      <c r="P230" s="180">
        <f>+(P$56/O$56)-1</f>
        <v>0.36215957955088385</v>
      </c>
      <c r="Q230" s="180">
        <f>+(Q$56/P$56)-1</f>
        <v>-1.420554191511747E-2</v>
      </c>
      <c r="R230" s="231"/>
      <c r="S230" s="180">
        <f>+(S$56/Q$56)-1</f>
        <v>-1.3520725849492932E-2</v>
      </c>
      <c r="T230" s="180">
        <f>+(T$56/S$56)-1</f>
        <v>0.1264201983769162</v>
      </c>
      <c r="U230" s="180">
        <f>+(U$56/T$56)-1</f>
        <v>0.13496637848222859</v>
      </c>
      <c r="V230" s="180">
        <f>+(V$56/U$56)-1</f>
        <v>0.10607984200874587</v>
      </c>
      <c r="W230" s="231"/>
      <c r="X230" s="180">
        <f>+(X$56/V$56)-1</f>
        <v>1.7217191684733901E-2</v>
      </c>
      <c r="Y230" s="180">
        <f>+(Y$56/X$56)-1</f>
        <v>-5.3911735205616762E-2</v>
      </c>
      <c r="Z230" s="180">
        <f>+(Z$56/Y$56)-1</f>
        <v>0.12960508878876231</v>
      </c>
      <c r="AA230" s="180">
        <f>+(AA$56/Z$56)-1</f>
        <v>3.0267480056311635E-2</v>
      </c>
      <c r="AB230" s="231"/>
      <c r="AC230" s="180">
        <f>+(AC$56/AA$56)-1</f>
        <v>-9.3372808016397246E-2</v>
      </c>
      <c r="AD230" s="180">
        <f>+(AD$56/AC$56)-1</f>
        <v>0.27128862094951023</v>
      </c>
      <c r="AE230" s="180">
        <f>+(AE$56/AD$56)-1</f>
        <v>0.22337482710926704</v>
      </c>
      <c r="AF230" s="180">
        <f>+(AF$56/AE$56)-1</f>
        <v>5.0876201243640562E-2</v>
      </c>
      <c r="AG230" s="231"/>
      <c r="AH230" s="180">
        <f>+(AH$56/AF$56)-1</f>
        <v>0.14961961115807276</v>
      </c>
      <c r="AI230" s="180">
        <f>+(AI$56/AH$56)-1</f>
        <v>9.3783422459893018E-2</v>
      </c>
      <c r="AJ230" s="180">
        <f>+(AJ$56/AI$56)-1</f>
        <v>0.26425472101692837</v>
      </c>
      <c r="AK230" s="180">
        <f>+(AK$56/AJ$56)-1</f>
        <v>3.1372359452796372E-2</v>
      </c>
      <c r="AL230" s="231"/>
      <c r="AM230" s="180">
        <f>+(AM$56/AK$56)-1</f>
        <v>-4.9446944131983472E-2</v>
      </c>
      <c r="AN230" s="180">
        <f>+(AN$56/AM$56)-1</f>
        <v>0.13115724076722057</v>
      </c>
      <c r="AO230" s="180">
        <f>+(AO$56/AN$56)-1</f>
        <v>0.16372433634104877</v>
      </c>
      <c r="AP230" s="180">
        <f>+(AP$56/AO$56)-1</f>
        <v>-4.3076001048806933E-2</v>
      </c>
      <c r="AQ230" s="231"/>
      <c r="AR230" s="180">
        <f>+(AR$56/AP$56)-1</f>
        <v>4.2823032058558752E-2</v>
      </c>
      <c r="AS230" s="180">
        <f>+(AS$56/AR$56)-1</f>
        <v>0.1368191884689014</v>
      </c>
      <c r="AT230" s="180">
        <f>+(AT$56/AS$56)-1</f>
        <v>3.6551541966585166E-2</v>
      </c>
      <c r="AU230" s="180">
        <f>+(AU$56/AT$56)-1</f>
        <v>-8.7822125951645291E-2</v>
      </c>
      <c r="AV230" s="231"/>
      <c r="AW230" s="180">
        <f>+(AW$56/AU$56)-1</f>
        <v>3.932113423662531E-2</v>
      </c>
      <c r="AX230" s="180">
        <f>+(AX$56/AW$56)-1</f>
        <v>6.1958201733754548E-2</v>
      </c>
      <c r="AY230" s="180">
        <f>+(AY$56/AX$56)-1</f>
        <v>8.06176042523572E-2</v>
      </c>
      <c r="AZ230" s="180">
        <f>+(AZ$56/AY$56)-1</f>
        <v>-1.1799496398664844E-2</v>
      </c>
      <c r="BA230" s="231"/>
      <c r="BB230" s="180">
        <f>+(BB$56/AZ$56)-1</f>
        <v>5.3716926905869489E-2</v>
      </c>
      <c r="BC230" s="180">
        <f>+(BC$56/BB$56)-1</f>
        <v>-8.2386683162748442E-3</v>
      </c>
      <c r="BD230" s="180">
        <f>+(BD$56/BC$56)-1</f>
        <v>4.4427433302146158E-2</v>
      </c>
      <c r="BE230" s="180">
        <f>+(BE$56/BD$56)-1</f>
        <v>5.4644660405016587E-2</v>
      </c>
      <c r="BF230" s="231"/>
      <c r="BG230" s="180">
        <f>+(BG$56/BE$56)-1</f>
        <v>5.9792540732542365E-2</v>
      </c>
      <c r="BH230" s="180">
        <f>+(BH$56/BG$56)-1</f>
        <v>0.15254772429202901</v>
      </c>
      <c r="BI230" s="180">
        <f>+(BI$56/BH$56)-1</f>
        <v>0.19439468970603735</v>
      </c>
      <c r="BJ230" s="180">
        <f>+(BJ$56/BI$56)-1</f>
        <v>-6.7801693719124922E-2</v>
      </c>
      <c r="BK230" s="231"/>
      <c r="BL230" s="180">
        <f>+(BL$56/BJ$56)-1</f>
        <v>3.5978575619357578E-2</v>
      </c>
      <c r="BM230" s="180">
        <f>+(BM$56/BL$56)-1</f>
        <v>3.9716467536263567E-2</v>
      </c>
      <c r="BN230" s="180">
        <f>+(BN$56/BM$56)-1</f>
        <v>1.8607675007028313E-2</v>
      </c>
      <c r="BO230" s="180">
        <f>+(BO$56/BN$56)-1</f>
        <v>2.4081006020251428E-2</v>
      </c>
      <c r="BP230" s="231"/>
      <c r="BQ230" s="180">
        <f>+(BQ$56/BO$56)-1</f>
        <v>3.5036299627739353E-2</v>
      </c>
      <c r="BR230" s="180">
        <f>+(BR$56/BQ$56)-1</f>
        <v>-3.824434065129334E-3</v>
      </c>
      <c r="BS230" s="180">
        <f>+(BS$56/BR$56)-1</f>
        <v>0.1017610925962229</v>
      </c>
      <c r="BT230" s="180">
        <f>+(BT$56/BS$56)-1</f>
        <v>4.0628104565472167E-3</v>
      </c>
      <c r="BU230" s="231"/>
      <c r="BV230" s="180">
        <f>+(BV$56/BT$56)-1</f>
        <v>-4.8556348224174872E-2</v>
      </c>
      <c r="BW230" s="180">
        <f>+(BW$56/BV$56)-1</f>
        <v>-1.1638129354612947E-2</v>
      </c>
      <c r="BX230" s="180">
        <f>+(BX$56/BW$56)-1</f>
        <v>2.7014063230820451E-2</v>
      </c>
      <c r="BY230" s="180">
        <f>+(BY$56/BX$56)-1</f>
        <v>-1.3967289328051802E-3</v>
      </c>
      <c r="BZ230" s="231"/>
      <c r="CA230" s="180">
        <f>+(CA$56/BY$56)-1</f>
        <v>2.6443611616857376E-2</v>
      </c>
      <c r="CB230" s="180">
        <f>+(CB$56/CA$56)-1</f>
        <v>2.0478854961533122E-2</v>
      </c>
      <c r="CC230" s="180">
        <f>+(CC$56/CB$56)-1</f>
        <v>3.9122540746157286E-2</v>
      </c>
      <c r="CD230" s="180">
        <f>+(CD$56/CC$56)-1</f>
        <v>4.7275326351448266E-2</v>
      </c>
      <c r="CE230" s="231"/>
    </row>
    <row r="231" spans="2:83" s="10" customFormat="1" ht="12.6" customHeight="1">
      <c r="B231" s="212"/>
      <c r="C231" s="212"/>
      <c r="D231" s="180"/>
      <c r="E231" s="180"/>
      <c r="F231" s="180"/>
      <c r="G231" s="180"/>
      <c r="H231" s="231"/>
      <c r="I231" s="180"/>
      <c r="J231" s="180"/>
      <c r="K231" s="180"/>
      <c r="L231" s="180"/>
      <c r="M231" s="231"/>
      <c r="N231" s="180"/>
      <c r="O231" s="180"/>
      <c r="P231" s="180"/>
      <c r="Q231" s="180"/>
      <c r="R231" s="231"/>
      <c r="S231" s="180"/>
      <c r="T231" s="180"/>
      <c r="U231" s="180"/>
      <c r="V231" s="180"/>
      <c r="W231" s="231"/>
      <c r="X231" s="180"/>
      <c r="Y231" s="180"/>
      <c r="Z231" s="180"/>
      <c r="AA231" s="180"/>
      <c r="AB231" s="231"/>
      <c r="AC231" s="180"/>
      <c r="AD231" s="180"/>
      <c r="AE231" s="180"/>
      <c r="AF231" s="180"/>
      <c r="AG231" s="231"/>
      <c r="AH231" s="180"/>
      <c r="AI231" s="180"/>
      <c r="AJ231" s="180"/>
      <c r="AK231" s="180"/>
      <c r="AL231" s="231"/>
      <c r="AM231" s="180"/>
      <c r="AN231" s="180"/>
      <c r="AO231" s="180"/>
      <c r="AP231" s="180"/>
      <c r="AQ231" s="231"/>
      <c r="AR231" s="180"/>
      <c r="AS231" s="180"/>
      <c r="AT231" s="180"/>
      <c r="AU231" s="180"/>
      <c r="AV231" s="231"/>
      <c r="AW231" s="180"/>
      <c r="AX231" s="180"/>
      <c r="AY231" s="180"/>
      <c r="AZ231" s="180"/>
      <c r="BA231" s="231"/>
      <c r="BB231" s="180"/>
      <c r="BC231" s="180"/>
      <c r="BD231" s="180"/>
      <c r="BE231" s="180"/>
      <c r="BF231" s="231"/>
      <c r="BG231" s="180"/>
      <c r="BH231" s="180"/>
      <c r="BI231" s="180"/>
      <c r="BJ231" s="180"/>
      <c r="BK231" s="231"/>
      <c r="BL231" s="180"/>
      <c r="BM231" s="180"/>
      <c r="BN231" s="180"/>
      <c r="BO231" s="180"/>
      <c r="BP231" s="231"/>
      <c r="BQ231" s="180"/>
      <c r="BR231" s="180"/>
      <c r="BS231" s="180"/>
      <c r="BT231" s="180"/>
      <c r="BU231" s="231"/>
      <c r="BV231" s="180"/>
      <c r="BW231" s="180"/>
      <c r="BX231" s="180"/>
      <c r="BY231" s="180"/>
      <c r="BZ231" s="231"/>
      <c r="CA231" s="180"/>
      <c r="CB231" s="180"/>
      <c r="CC231" s="180"/>
      <c r="CD231" s="180"/>
      <c r="CE231" s="231"/>
    </row>
    <row r="232" spans="2:83" ht="12.6" customHeight="1">
      <c r="B232" s="186"/>
      <c r="C232" s="214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185"/>
      <c r="AF232" s="185"/>
      <c r="AG232" s="185"/>
      <c r="AH232" s="185"/>
      <c r="AI232" s="185"/>
      <c r="AJ232" s="185"/>
      <c r="AK232" s="185"/>
      <c r="AL232" s="185"/>
      <c r="AM232" s="185"/>
      <c r="AN232" s="185"/>
      <c r="AO232" s="185"/>
      <c r="AP232" s="185"/>
      <c r="AQ232" s="185"/>
      <c r="AR232" s="185"/>
      <c r="AS232" s="185"/>
      <c r="AT232" s="185"/>
      <c r="AU232" s="185"/>
      <c r="AV232" s="185"/>
      <c r="AW232" s="185"/>
      <c r="AX232" s="185"/>
      <c r="AY232" s="185"/>
      <c r="AZ232" s="185"/>
      <c r="BA232" s="185"/>
      <c r="BB232" s="185"/>
      <c r="BC232" s="185"/>
      <c r="BD232" s="185"/>
      <c r="BE232" s="185"/>
      <c r="BF232" s="185"/>
      <c r="BG232" s="185"/>
      <c r="BH232" s="185"/>
      <c r="BI232" s="185"/>
      <c r="BJ232" s="185"/>
      <c r="BK232" s="185"/>
      <c r="BL232" s="185"/>
      <c r="BM232" s="185"/>
      <c r="BN232" s="185"/>
      <c r="BO232" s="185"/>
      <c r="BP232" s="185"/>
      <c r="BQ232" s="185"/>
      <c r="BR232" s="185"/>
      <c r="BS232" s="185"/>
      <c r="BT232" s="185"/>
      <c r="BU232" s="185"/>
      <c r="BV232" s="185"/>
      <c r="BW232" s="185"/>
      <c r="BX232" s="185"/>
      <c r="BY232" s="185"/>
      <c r="BZ232" s="185"/>
      <c r="CA232" s="185"/>
      <c r="CB232" s="185"/>
      <c r="CC232" s="185"/>
      <c r="CD232" s="185"/>
      <c r="CE232" s="185"/>
    </row>
    <row r="233" spans="2:83" ht="12.6" customHeight="1">
      <c r="B233" s="212" t="s">
        <v>141</v>
      </c>
      <c r="C233" s="212"/>
      <c r="D233" s="231"/>
      <c r="E233" s="231">
        <f>+(E$59/D$59)-1</f>
        <v>0.49141772352150204</v>
      </c>
      <c r="F233" s="231">
        <f>+(F$59/E$59)-1</f>
        <v>3.3752621334840205</v>
      </c>
      <c r="G233" s="231">
        <f>+(G$59/F$59)-1</f>
        <v>-0.42533202834871275</v>
      </c>
      <c r="H233" s="231"/>
      <c r="I233" s="231">
        <f>+(I$59/G$59)-1</f>
        <v>-0.83201889308105947</v>
      </c>
      <c r="J233" s="231">
        <f>+(J$59/I$59)-1</f>
        <v>5.0880549515930866</v>
      </c>
      <c r="K233" s="231">
        <f>+(K$59/J$59)-1</f>
        <v>0.35526647482102036</v>
      </c>
      <c r="L233" s="231">
        <f>+(L$59/K$59)-1</f>
        <v>-0.4121098436778543</v>
      </c>
      <c r="M233" s="231"/>
      <c r="N233" s="231">
        <f>+(N$59/L$59)-1</f>
        <v>-4.324072778744914E-2</v>
      </c>
      <c r="O233" s="231">
        <f>+(O$59/N$59)-1</f>
        <v>1.4991767421684892</v>
      </c>
      <c r="P233" s="231">
        <f>+(P$59/O$59)-1</f>
        <v>0.353306276997708</v>
      </c>
      <c r="Q233" s="231">
        <f>+(Q$59/P$59)-1</f>
        <v>-2.8613911618723287E-2</v>
      </c>
      <c r="R233" s="231"/>
      <c r="S233" s="231">
        <f>+(S$59/Q$59)-1</f>
        <v>-2.9129983358608946E-2</v>
      </c>
      <c r="T233" s="231">
        <f>+(T$59/S$59)-1</f>
        <v>0.11939379558002305</v>
      </c>
      <c r="U233" s="231">
        <f>+(U$59/T$59)-1</f>
        <v>0.15103145690610353</v>
      </c>
      <c r="V233" s="231">
        <f>+(V$59/U$59)-1</f>
        <v>0.10004868259130184</v>
      </c>
      <c r="W233" s="231"/>
      <c r="X233" s="231">
        <f>+(X$59/V$59)-1</f>
        <v>2.549730413885154E-2</v>
      </c>
      <c r="Y233" s="231">
        <f>+(Y$59/X$59)-1</f>
        <v>-6.1476869588394267E-2</v>
      </c>
      <c r="Z233" s="231">
        <f>+(Z$59/Y$59)-1</f>
        <v>0.11300183151657772</v>
      </c>
      <c r="AA233" s="231">
        <f>+(AA$59/Z$59)-1</f>
        <v>2.2606909592839841E-2</v>
      </c>
      <c r="AB233" s="231"/>
      <c r="AC233" s="231">
        <f>+(AC$59/AA$59)-1</f>
        <v>-8.9708489078530795E-2</v>
      </c>
      <c r="AD233" s="231">
        <f>+(AD$59/AC$59)-1</f>
        <v>0.24910096068758647</v>
      </c>
      <c r="AE233" s="231">
        <f>+(AE$59/AD$59)-1</f>
        <v>0.20018173626553692</v>
      </c>
      <c r="AF233" s="231">
        <f>+(AF$59/AE$59)-1</f>
        <v>2.8244064340248398E-2</v>
      </c>
      <c r="AG233" s="231"/>
      <c r="AH233" s="231">
        <f>+(AH$59/AF$59)-1</f>
        <v>0.12911320897496958</v>
      </c>
      <c r="AI233" s="231">
        <f>+(AI$59/AH$59)-1</f>
        <v>8.6502760569303616E-2</v>
      </c>
      <c r="AJ233" s="231">
        <f>+(AJ$59/AI$59)-1</f>
        <v>0.26479401492356414</v>
      </c>
      <c r="AK233" s="231">
        <f>+(AK$59/AJ$59)-1</f>
        <v>4.6676754493257588E-2</v>
      </c>
      <c r="AL233" s="231"/>
      <c r="AM233" s="231">
        <f>+(AM$59/AK$59)-1</f>
        <v>-4.8669040028110344E-2</v>
      </c>
      <c r="AN233" s="231">
        <f>+(AN$59/AM$59)-1</f>
        <v>0.13159303455128679</v>
      </c>
      <c r="AO233" s="231">
        <f>+(AO$59/AN$59)-1</f>
        <v>0.17412836325357772</v>
      </c>
      <c r="AP233" s="231">
        <f>+(AP$59/AO$59)-1</f>
        <v>-3.7440296062437262E-2</v>
      </c>
      <c r="AQ233" s="231"/>
      <c r="AR233" s="231">
        <f>+(AR$59/AP$59)-1</f>
        <v>4.4737827323808377E-2</v>
      </c>
      <c r="AS233" s="231">
        <f>+(AS$59/AR$59)-1</f>
        <v>0.13479108903445214</v>
      </c>
      <c r="AT233" s="231">
        <f>+(AT$59/AS$59)-1</f>
        <v>4.049289926726285E-2</v>
      </c>
      <c r="AU233" s="231">
        <f>+(AU$59/AT$59)-1</f>
        <v>-8.0513875922177736E-2</v>
      </c>
      <c r="AV233" s="231"/>
      <c r="AW233" s="231">
        <f>+(AW$59/AU$59)-1</f>
        <v>3.9578201051919892E-2</v>
      </c>
      <c r="AX233" s="231">
        <f>+(AX$59/AW$59)-1</f>
        <v>7.1311976846961889E-2</v>
      </c>
      <c r="AY233" s="231">
        <f>+(AY$59/AX$59)-1</f>
        <v>8.4378579939449194E-2</v>
      </c>
      <c r="AZ233" s="231">
        <f>+(AZ$59/AY$59)-1</f>
        <v>-1.40952833346627E-2</v>
      </c>
      <c r="BA233" s="231"/>
      <c r="BB233" s="231">
        <f>+(BB$59/AZ$59)-1</f>
        <v>5.4507194844350515E-2</v>
      </c>
      <c r="BC233" s="231">
        <f>+(BC$59/BB$59)-1</f>
        <v>-4.4231326864641041E-4</v>
      </c>
      <c r="BD233" s="231">
        <f>+(BD$59/BC$59)-1</f>
        <v>5.6916889350557831E-2</v>
      </c>
      <c r="BE233" s="231">
        <f>+(BE$59/BD$59)-1</f>
        <v>7.4926288489728377E-2</v>
      </c>
      <c r="BF233" s="231"/>
      <c r="BG233" s="231">
        <f>+(BG$59/BE$59)-1</f>
        <v>8.2609492351488623E-2</v>
      </c>
      <c r="BH233" s="231">
        <f>+(BH$59/BG$59)-1</f>
        <v>0.15975210969297304</v>
      </c>
      <c r="BI233" s="231">
        <f>+(BI$59/BH$59)-1</f>
        <v>0.1939800579242017</v>
      </c>
      <c r="BJ233" s="231">
        <f>+(BJ$59/BI$59)-1</f>
        <v>-7.5210284687766027E-2</v>
      </c>
      <c r="BK233" s="231"/>
      <c r="BL233" s="231">
        <f>+(BL$59/BJ$59)-1</f>
        <v>3.6665145202648519E-2</v>
      </c>
      <c r="BM233" s="231">
        <f>+(BM$59/BL$59)-1</f>
        <v>4.6904342965793155E-2</v>
      </c>
      <c r="BN233" s="231">
        <f>+(BN$59/BM$59)-1</f>
        <v>2.7604425260214116E-2</v>
      </c>
      <c r="BO233" s="231">
        <f>+(BO$59/BN$59)-1</f>
        <v>2.7845195664001565E-2</v>
      </c>
      <c r="BP233" s="231"/>
      <c r="BQ233" s="231">
        <f>+(BQ$59/BO$59)-1</f>
        <v>4.111415523668871E-2</v>
      </c>
      <c r="BR233" s="231">
        <f>+(BR$59/BQ$59)-1</f>
        <v>3.4043105602092893E-3</v>
      </c>
      <c r="BS233" s="231">
        <f>+(BS$59/BR$59)-1</f>
        <v>0.10862186483678582</v>
      </c>
      <c r="BT233" s="231">
        <f>+(BT$59/BS$59)-1</f>
        <v>8.3135467598083324E-3</v>
      </c>
      <c r="BU233" s="231"/>
      <c r="BV233" s="231">
        <f>+(BV$59/BT$59)-1</f>
        <v>-4.4735289381701793E-2</v>
      </c>
      <c r="BW233" s="231">
        <f>+(BW$59/BV$59)-1</f>
        <v>-1.6546761157706369E-3</v>
      </c>
      <c r="BX233" s="231">
        <f>+(BX$59/BW$59)-1</f>
        <v>4.0541097498298262E-2</v>
      </c>
      <c r="BY233" s="231">
        <f>+(BY$59/BX$59)-1</f>
        <v>8.6901727951462782E-3</v>
      </c>
      <c r="BZ233" s="231"/>
      <c r="CA233" s="231">
        <f>+(CA$59/BY$59)-1</f>
        <v>3.1601619715434515E-2</v>
      </c>
      <c r="CB233" s="231">
        <f>+(CB$59/CA$59)-1</f>
        <v>1.9459395565967208E-2</v>
      </c>
      <c r="CC233" s="231">
        <f>+(CC$59/CB$59)-1</f>
        <v>3.8084456289867452E-2</v>
      </c>
      <c r="CD233" s="231">
        <f>+(CD$59/CC$59)-1</f>
        <v>4.6229097254194329E-2</v>
      </c>
      <c r="CE233" s="231"/>
    </row>
    <row r="234" spans="2:83" ht="12.6" customHeight="1">
      <c r="B234" s="212"/>
      <c r="C234" s="212"/>
      <c r="D234" s="231"/>
      <c r="E234" s="231"/>
      <c r="F234" s="231"/>
      <c r="G234" s="231"/>
      <c r="H234" s="231"/>
      <c r="I234" s="231"/>
      <c r="J234" s="231"/>
      <c r="K234" s="231"/>
      <c r="L234" s="231"/>
      <c r="M234" s="231"/>
      <c r="N234" s="231"/>
      <c r="O234" s="231"/>
      <c r="P234" s="231"/>
      <c r="Q234" s="231"/>
      <c r="R234" s="231"/>
      <c r="S234" s="231"/>
      <c r="T234" s="231"/>
      <c r="U234" s="231"/>
      <c r="V234" s="231"/>
      <c r="W234" s="231"/>
      <c r="X234" s="231"/>
      <c r="Y234" s="231"/>
      <c r="Z234" s="231"/>
      <c r="AA234" s="231"/>
      <c r="AB234" s="231"/>
      <c r="AC234" s="231"/>
      <c r="AD234" s="231"/>
      <c r="AE234" s="231"/>
      <c r="AF234" s="231"/>
      <c r="AG234" s="231"/>
      <c r="AH234" s="231"/>
      <c r="AI234" s="231"/>
      <c r="AJ234" s="231"/>
      <c r="AK234" s="231"/>
      <c r="AL234" s="231"/>
      <c r="AM234" s="231"/>
      <c r="AN234" s="231"/>
      <c r="AO234" s="231"/>
      <c r="AP234" s="231"/>
      <c r="AQ234" s="231"/>
      <c r="AR234" s="231"/>
      <c r="AS234" s="231"/>
      <c r="AT234" s="231"/>
      <c r="AU234" s="231"/>
      <c r="AV234" s="231"/>
      <c r="AW234" s="231"/>
      <c r="AX234" s="231"/>
      <c r="AY234" s="231"/>
      <c r="AZ234" s="231"/>
      <c r="BA234" s="231"/>
      <c r="BB234" s="231"/>
      <c r="BC234" s="231"/>
      <c r="BD234" s="231"/>
      <c r="BE234" s="231"/>
      <c r="BF234" s="231"/>
      <c r="BG234" s="231"/>
      <c r="BH234" s="231"/>
      <c r="BI234" s="231"/>
      <c r="BJ234" s="231"/>
      <c r="BK234" s="231"/>
      <c r="BL234" s="231"/>
      <c r="BM234" s="231"/>
      <c r="BN234" s="231"/>
      <c r="BO234" s="231"/>
      <c r="BP234" s="231"/>
      <c r="BQ234" s="231"/>
      <c r="BR234" s="231"/>
      <c r="BS234" s="231"/>
      <c r="BT234" s="231"/>
      <c r="BU234" s="231"/>
      <c r="BV234" s="231"/>
      <c r="BW234" s="231"/>
      <c r="BX234" s="231"/>
      <c r="BY234" s="231"/>
      <c r="BZ234" s="231"/>
      <c r="CA234" s="231"/>
      <c r="CB234" s="231"/>
      <c r="CC234" s="231"/>
      <c r="CD234" s="231"/>
      <c r="CE234" s="231"/>
    </row>
    <row r="235" spans="2:83" ht="12.6" customHeight="1">
      <c r="B235" s="212"/>
      <c r="C235" s="212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35"/>
      <c r="W235" s="235"/>
      <c r="X235" s="235"/>
      <c r="Y235" s="235"/>
      <c r="Z235" s="235"/>
      <c r="AA235" s="235"/>
      <c r="AB235" s="235"/>
      <c r="AC235" s="235"/>
      <c r="AD235" s="235"/>
      <c r="AE235" s="235"/>
      <c r="AF235" s="235"/>
      <c r="AG235" s="235"/>
      <c r="AH235" s="235"/>
      <c r="AI235" s="235"/>
      <c r="AJ235" s="235"/>
      <c r="AK235" s="235"/>
      <c r="AL235" s="235"/>
      <c r="AM235" s="235"/>
      <c r="AN235" s="235"/>
      <c r="AO235" s="235"/>
      <c r="AP235" s="235"/>
      <c r="AQ235" s="235"/>
      <c r="AR235" s="235"/>
      <c r="AS235" s="235"/>
      <c r="AT235" s="235"/>
      <c r="AU235" s="235"/>
      <c r="AV235" s="235"/>
      <c r="AW235" s="235"/>
      <c r="AX235" s="235"/>
      <c r="AY235" s="235"/>
      <c r="AZ235" s="235"/>
      <c r="BA235" s="235"/>
      <c r="BB235" s="235"/>
      <c r="BC235" s="235"/>
      <c r="BD235" s="235"/>
      <c r="BE235" s="235"/>
      <c r="BF235" s="235"/>
      <c r="BG235" s="235"/>
      <c r="BH235" s="235"/>
      <c r="BI235" s="235"/>
      <c r="BJ235" s="235"/>
      <c r="BK235" s="235"/>
      <c r="BL235" s="235"/>
      <c r="BM235" s="235"/>
      <c r="BN235" s="235"/>
      <c r="BO235" s="235"/>
      <c r="BP235" s="235"/>
      <c r="BQ235" s="235"/>
      <c r="BR235" s="235"/>
      <c r="BS235" s="235"/>
      <c r="BT235" s="235"/>
      <c r="BU235" s="235"/>
      <c r="BV235" s="235"/>
      <c r="BW235" s="235"/>
      <c r="BX235" s="235"/>
      <c r="BY235" s="235"/>
      <c r="BZ235" s="235"/>
      <c r="CA235" s="235"/>
      <c r="CB235" s="235"/>
      <c r="CC235" s="235"/>
      <c r="CD235" s="235"/>
      <c r="CE235" s="235"/>
    </row>
    <row r="236" spans="2:83" ht="12.6" customHeight="1">
      <c r="B236" s="206" t="s">
        <v>14</v>
      </c>
      <c r="C236" s="206"/>
      <c r="D236" s="232"/>
      <c r="E236" s="232">
        <f>+(E$62/D$62)-1</f>
        <v>3.4049323786794039E-2</v>
      </c>
      <c r="F236" s="232">
        <f>+(F$62/E$62)-1</f>
        <v>2.1118633635943906E-2</v>
      </c>
      <c r="G236" s="232">
        <f>+(G$62/F$62)-1</f>
        <v>0.32092672819740065</v>
      </c>
      <c r="H236" s="232"/>
      <c r="I236" s="232">
        <f>+(I$62/G$62)-1</f>
        <v>7.2153775952543686E-3</v>
      </c>
      <c r="J236" s="232">
        <f>+(J$62/I$62)-1</f>
        <v>2.1519381600929588E-3</v>
      </c>
      <c r="K236" s="232">
        <f>+(K$62/J$62)-1</f>
        <v>2.4129065069363964E-2</v>
      </c>
      <c r="L236" s="232">
        <f>+(L$62/K$62)-1</f>
        <v>1.1890639225315303E-2</v>
      </c>
      <c r="M236" s="232"/>
      <c r="N236" s="232">
        <f>+(N$62/L$62)-1</f>
        <v>1.1014777250667906E-2</v>
      </c>
      <c r="O236" s="232">
        <f>+(O$62/N$62)-1</f>
        <v>-6.5530446038509771E-3</v>
      </c>
      <c r="P236" s="232">
        <f>+(P$62/O$62)-1</f>
        <v>6.5419799668828826E-3</v>
      </c>
      <c r="Q236" s="232">
        <f>+(Q$62/P$62)-1</f>
        <v>1.4832793959007606E-2</v>
      </c>
      <c r="R236" s="232"/>
      <c r="S236" s="232">
        <f>+(S$62/Q$62)-1</f>
        <v>1.6077597661440235E-2</v>
      </c>
      <c r="T236" s="232">
        <f>+(T$62/S$62)-1</f>
        <v>6.2769713613182176E-3</v>
      </c>
      <c r="U236" s="232">
        <f>+(U$62/T$62)-1</f>
        <v>-1.3957115009746612E-2</v>
      </c>
      <c r="V236" s="232">
        <f>+(V$62/U$62)-1</f>
        <v>5.4826295534819991E-3</v>
      </c>
      <c r="W236" s="232"/>
      <c r="X236" s="232">
        <f>+(X$62/V$62)-1</f>
        <v>-8.074241073769195E-3</v>
      </c>
      <c r="Y236" s="232">
        <f>+(Y$62/X$62)-1</f>
        <v>8.0606797399440655E-3</v>
      </c>
      <c r="Z236" s="232">
        <f>+(Z$62/Y$62)-1</f>
        <v>1.4917547125291586E-2</v>
      </c>
      <c r="AA236" s="232">
        <f>+(AA$62/Z$62)-1</f>
        <v>7.4912171936349914E-3</v>
      </c>
      <c r="AB236" s="232"/>
      <c r="AC236" s="232">
        <f>+(AC$62/AA$62)-1</f>
        <v>-4.0254345930977875E-3</v>
      </c>
      <c r="AD236" s="232">
        <f>+(AD$62/AC$62)-1</f>
        <v>1.7762903848629108E-2</v>
      </c>
      <c r="AE236" s="232">
        <f>+(AE$62/AD$62)-1</f>
        <v>1.9324649045149966E-2</v>
      </c>
      <c r="AF236" s="232">
        <f>+(AF$62/AE$62)-1</f>
        <v>2.2010471723864056E-2</v>
      </c>
      <c r="AG236" s="232"/>
      <c r="AH236" s="232">
        <f>+(AH$62/AF$62)-1</f>
        <v>1.8161511193123925E-2</v>
      </c>
      <c r="AI236" s="232">
        <f>+(AI$62/AH$62)-1</f>
        <v>6.7010063433012856E-3</v>
      </c>
      <c r="AJ236" s="232">
        <f>+(AJ$62/AI$62)-1</f>
        <v>-4.2638872438705011E-4</v>
      </c>
      <c r="AK236" s="232">
        <f>+(AK$62/AJ$62)-1</f>
        <v>-1.4621892551603177E-2</v>
      </c>
      <c r="AL236" s="232"/>
      <c r="AM236" s="232">
        <f>+(AM$62/AK$62)-1</f>
        <v>-8.1770081770082825E-4</v>
      </c>
      <c r="AN236" s="232">
        <f>+(AN$62/AM$62)-1</f>
        <v>-3.8511529389106958E-4</v>
      </c>
      <c r="AO236" s="232">
        <f>+(AO$62/AN$62)-1</f>
        <v>-8.8610642908740767E-3</v>
      </c>
      <c r="AP236" s="232">
        <f>+(AP$62/AO$62)-1</f>
        <v>-5.8549147271755864E-3</v>
      </c>
      <c r="AQ236" s="232"/>
      <c r="AR236" s="232">
        <f>+(AR$62/AP$62)-1</f>
        <v>-1.8327997849515443E-3</v>
      </c>
      <c r="AS236" s="232">
        <f>+(AS$62/AR$62)-1</f>
        <v>1.7872007050874217E-3</v>
      </c>
      <c r="AT236" s="232">
        <f>+(AT$62/AS$62)-1</f>
        <v>-3.7879713580488694E-3</v>
      </c>
      <c r="AU236" s="232">
        <f>+(AU$62/AT$62)-1</f>
        <v>-7.9481895790403101E-3</v>
      </c>
      <c r="AV236" s="232"/>
      <c r="AW236" s="232">
        <f>+(AW$62/AU$62)-1</f>
        <v>-2.4727992087048012E-4</v>
      </c>
      <c r="AX236" s="232">
        <f>+(AX$62/AW$62)-1</f>
        <v>-8.7311402423942974E-3</v>
      </c>
      <c r="AY236" s="232">
        <f>+(AY$62/AX$62)-1</f>
        <v>-3.46832347730619E-3</v>
      </c>
      <c r="AZ236" s="232">
        <f>+(AZ$62/AY$62)-1</f>
        <v>2.3286093444838674E-3</v>
      </c>
      <c r="BA236" s="232"/>
      <c r="BB236" s="232">
        <f>+(BB$62/AZ$62)-1</f>
        <v>-7.4941920011994956E-4</v>
      </c>
      <c r="BC236" s="232">
        <f>+(BC$62/BB$62)-1</f>
        <v>-7.7998050048748713E-3</v>
      </c>
      <c r="BD236" s="232">
        <f>+(BD$62/BC$62)-1</f>
        <v>-1.1816876212552563E-2</v>
      </c>
      <c r="BE236" s="232">
        <f>+(BE$62/BD$62)-1</f>
        <v>-1.8867924528301883E-2</v>
      </c>
      <c r="BF236" s="232"/>
      <c r="BG236" s="232">
        <f>+(BG$62/BE$62)-1</f>
        <v>-2.1075883575883525E-2</v>
      </c>
      <c r="BH236" s="232">
        <f>+(BH$62/BG$62)-1</f>
        <v>-6.2120045660888357E-3</v>
      </c>
      <c r="BI236" s="232">
        <f>+(BI$62/BH$62)-1</f>
        <v>3.472685989047708E-4</v>
      </c>
      <c r="BJ236" s="232">
        <f>+(BJ$62/BI$62)-1</f>
        <v>8.0111087374492573E-3</v>
      </c>
      <c r="BK236" s="232"/>
      <c r="BL236" s="232">
        <f>+(BL$62/BJ$62)-1</f>
        <v>-6.6228674366852758E-4</v>
      </c>
      <c r="BM236" s="232">
        <f>+(BM$62/BL$62)-1</f>
        <v>-6.865837817776943E-3</v>
      </c>
      <c r="BN236" s="232">
        <f>+(BN$62/BM$62)-1</f>
        <v>-8.7550715353406083E-3</v>
      </c>
      <c r="BO236" s="232">
        <f>+(BO$62/BN$62)-1</f>
        <v>-3.6622145626884484E-3</v>
      </c>
      <c r="BP236" s="232"/>
      <c r="BQ236" s="232">
        <f>+(BQ$62/BO$62)-1</f>
        <v>-5.837837837837867E-3</v>
      </c>
      <c r="BR236" s="232">
        <f>+(BR$62/BQ$62)-1</f>
        <v>-7.204219225750319E-3</v>
      </c>
      <c r="BS236" s="232">
        <f>+(BS$62/BR$62)-1</f>
        <v>-6.1885593800486971E-3</v>
      </c>
      <c r="BT236" s="232">
        <f>+(BT$62/BS$62)-1</f>
        <v>-4.2156889758355742E-3</v>
      </c>
      <c r="BU236" s="232"/>
      <c r="BV236" s="232">
        <f>+(BV$62/BT$62)-1</f>
        <v>-3.9999999999998925E-3</v>
      </c>
      <c r="BW236" s="232">
        <f>+(BW$62/BV$62)-1</f>
        <v>-1.000000000000012E-2</v>
      </c>
      <c r="BX236" s="232">
        <f>+(BX$62/BW$62)-1</f>
        <v>-1.3000000000000012E-2</v>
      </c>
      <c r="BY236" s="232">
        <f>+(BY$62/BX$62)-1</f>
        <v>-9.9999999999998979E-3</v>
      </c>
      <c r="BZ236" s="232"/>
      <c r="CA236" s="232">
        <f>+(CA$62/BY$62)-1</f>
        <v>-4.9999999999998934E-3</v>
      </c>
      <c r="CB236" s="232">
        <f>+(CB$62/CA$62)-1</f>
        <v>9.9999999999988987E-4</v>
      </c>
      <c r="CC236" s="232">
        <f>+(CC$62/CB$62)-1</f>
        <v>9.9999999999988987E-4</v>
      </c>
      <c r="CD236" s="232">
        <f>+(CD$62/CC$62)-1</f>
        <v>9.9999999999988987E-4</v>
      </c>
      <c r="CE236" s="232"/>
    </row>
    <row r="237" spans="2:83" ht="12.6" customHeight="1">
      <c r="B237" s="206"/>
      <c r="C237" s="206"/>
      <c r="D237" s="232"/>
      <c r="E237" s="232"/>
      <c r="F237" s="232"/>
      <c r="G237" s="232"/>
      <c r="H237" s="232"/>
      <c r="I237" s="232"/>
      <c r="J237" s="232"/>
      <c r="K237" s="232"/>
      <c r="L237" s="232"/>
      <c r="M237" s="232"/>
      <c r="N237" s="232"/>
      <c r="O237" s="232"/>
      <c r="P237" s="232"/>
      <c r="Q237" s="232"/>
      <c r="R237" s="232"/>
      <c r="S237" s="232"/>
      <c r="T237" s="232"/>
      <c r="U237" s="232"/>
      <c r="V237" s="232"/>
      <c r="W237" s="232"/>
      <c r="X237" s="232"/>
      <c r="Y237" s="232"/>
      <c r="Z237" s="232"/>
      <c r="AA237" s="232"/>
      <c r="AB237" s="232"/>
      <c r="AC237" s="232"/>
      <c r="AD237" s="232"/>
      <c r="AE237" s="232"/>
      <c r="AF237" s="232"/>
      <c r="AG237" s="232"/>
      <c r="AH237" s="232"/>
      <c r="AI237" s="232"/>
      <c r="AJ237" s="232"/>
      <c r="AK237" s="232"/>
      <c r="AL237" s="232"/>
      <c r="AM237" s="232"/>
      <c r="AN237" s="232"/>
      <c r="AO237" s="232"/>
      <c r="AP237" s="232"/>
      <c r="AQ237" s="232"/>
      <c r="AR237" s="232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232"/>
      <c r="BH237" s="232"/>
      <c r="BI237" s="232"/>
      <c r="BJ237" s="232"/>
      <c r="BK237" s="232"/>
      <c r="BL237" s="232"/>
      <c r="BM237" s="232"/>
      <c r="BN237" s="232"/>
      <c r="BO237" s="232"/>
      <c r="BP237" s="232"/>
      <c r="BQ237" s="232"/>
      <c r="BR237" s="232"/>
      <c r="BS237" s="232"/>
      <c r="BT237" s="232"/>
      <c r="BU237" s="232"/>
      <c r="BV237" s="232"/>
      <c r="BW237" s="232"/>
      <c r="BX237" s="232"/>
      <c r="BY237" s="232"/>
      <c r="BZ237" s="232"/>
      <c r="CA237" s="232"/>
      <c r="CB237" s="232"/>
      <c r="CC237" s="232"/>
      <c r="CD237" s="232"/>
      <c r="CE237" s="232"/>
    </row>
    <row r="238" spans="2:83" ht="12.6" customHeight="1">
      <c r="B238" s="206"/>
      <c r="C238" s="206"/>
      <c r="D238" s="216"/>
      <c r="E238" s="216"/>
      <c r="F238" s="216"/>
      <c r="G238" s="216"/>
      <c r="H238" s="216"/>
      <c r="I238" s="216"/>
      <c r="J238" s="216"/>
      <c r="K238" s="216"/>
      <c r="L238" s="216"/>
      <c r="M238" s="216"/>
      <c r="N238" s="216"/>
      <c r="O238" s="216"/>
      <c r="P238" s="216"/>
      <c r="Q238" s="216"/>
      <c r="R238" s="216"/>
      <c r="S238" s="216"/>
      <c r="T238" s="216"/>
      <c r="U238" s="216"/>
      <c r="V238" s="216"/>
      <c r="W238" s="216"/>
      <c r="X238" s="216"/>
      <c r="Y238" s="216"/>
      <c r="Z238" s="216"/>
      <c r="AA238" s="216"/>
      <c r="AB238" s="216"/>
      <c r="AC238" s="216"/>
      <c r="AD238" s="216"/>
      <c r="AE238" s="216"/>
      <c r="AF238" s="216"/>
      <c r="AG238" s="216"/>
      <c r="AH238" s="216"/>
      <c r="AI238" s="216"/>
      <c r="AJ238" s="216"/>
      <c r="AK238" s="216"/>
      <c r="AL238" s="216"/>
      <c r="AM238" s="216"/>
      <c r="AN238" s="216"/>
      <c r="AO238" s="216"/>
      <c r="AP238" s="216"/>
      <c r="AQ238" s="216"/>
      <c r="AR238" s="216"/>
      <c r="AS238" s="216"/>
      <c r="AT238" s="216"/>
      <c r="AU238" s="216"/>
      <c r="AV238" s="216"/>
      <c r="AW238" s="216"/>
      <c r="AX238" s="216"/>
      <c r="AY238" s="216"/>
      <c r="AZ238" s="216"/>
      <c r="BA238" s="216"/>
      <c r="BB238" s="216"/>
      <c r="BC238" s="216"/>
      <c r="BD238" s="216"/>
      <c r="BE238" s="216"/>
      <c r="BF238" s="216"/>
      <c r="BG238" s="216"/>
      <c r="BH238" s="216"/>
      <c r="BI238" s="216"/>
      <c r="BJ238" s="216"/>
      <c r="BK238" s="216"/>
      <c r="BL238" s="216"/>
      <c r="BM238" s="216"/>
      <c r="BN238" s="216"/>
      <c r="BO238" s="216"/>
      <c r="BP238" s="216"/>
      <c r="BQ238" s="216"/>
      <c r="BR238" s="216"/>
      <c r="BS238" s="216"/>
      <c r="BT238" s="216"/>
      <c r="BU238" s="216"/>
      <c r="BV238" s="216"/>
      <c r="BW238" s="216"/>
      <c r="BX238" s="216"/>
      <c r="BY238" s="216"/>
      <c r="BZ238" s="216"/>
      <c r="CA238" s="216"/>
      <c r="CB238" s="216"/>
      <c r="CC238" s="216"/>
      <c r="CD238" s="216"/>
      <c r="CE238" s="216"/>
    </row>
    <row r="239" spans="2:83" ht="12.6" customHeight="1" thickBot="1">
      <c r="B239" s="197" t="s">
        <v>422</v>
      </c>
      <c r="C239" s="228"/>
      <c r="D239" s="228"/>
      <c r="E239" s="228"/>
      <c r="F239" s="228"/>
      <c r="G239" s="228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  <c r="AA239" s="228"/>
      <c r="AB239" s="228"/>
      <c r="AC239" s="228"/>
      <c r="AD239" s="228"/>
      <c r="AE239" s="228"/>
      <c r="AF239" s="228"/>
      <c r="AG239" s="228"/>
      <c r="AH239" s="228"/>
      <c r="AI239" s="228"/>
      <c r="AJ239" s="228"/>
      <c r="AK239" s="228"/>
      <c r="AL239" s="228"/>
      <c r="AM239" s="228"/>
      <c r="AN239" s="228"/>
      <c r="AO239" s="228"/>
      <c r="AP239" s="228"/>
      <c r="AQ239" s="228"/>
      <c r="AR239" s="228"/>
      <c r="AS239" s="228"/>
      <c r="AT239" s="228"/>
      <c r="AU239" s="228"/>
      <c r="AV239" s="228"/>
      <c r="AW239" s="228"/>
      <c r="AX239" s="228"/>
      <c r="AY239" s="228"/>
      <c r="AZ239" s="228"/>
      <c r="BA239" s="228"/>
      <c r="BB239" s="228"/>
      <c r="BC239" s="228"/>
      <c r="BD239" s="228"/>
      <c r="BE239" s="228"/>
      <c r="BF239" s="228"/>
      <c r="BG239" s="228"/>
      <c r="BH239" s="228"/>
      <c r="BI239" s="228"/>
      <c r="BJ239" s="228"/>
      <c r="BK239" s="228"/>
      <c r="BL239" s="228"/>
      <c r="BM239" s="228"/>
      <c r="BN239" s="228"/>
      <c r="BO239" s="228"/>
      <c r="BP239" s="228"/>
      <c r="BQ239" s="228"/>
      <c r="BR239" s="228"/>
      <c r="BS239" s="228"/>
      <c r="BT239" s="228"/>
      <c r="BU239" s="228"/>
      <c r="BV239" s="228"/>
      <c r="BW239" s="228"/>
      <c r="BX239" s="228"/>
      <c r="BY239" s="228"/>
      <c r="BZ239" s="228"/>
      <c r="CA239" s="228"/>
      <c r="CB239" s="228"/>
      <c r="CC239" s="228"/>
      <c r="CD239" s="228"/>
      <c r="CE239" s="228"/>
    </row>
    <row r="240" spans="2:83" ht="12.6" customHeight="1">
      <c r="B240" s="236"/>
      <c r="C240" s="236"/>
      <c r="D240" s="236"/>
      <c r="E240" s="236"/>
      <c r="F240" s="236"/>
      <c r="G240" s="236"/>
      <c r="H240" s="236"/>
      <c r="I240" s="236"/>
      <c r="J240" s="236"/>
      <c r="K240" s="236"/>
      <c r="L240" s="236"/>
      <c r="M240" s="236"/>
      <c r="N240" s="236"/>
      <c r="O240" s="236"/>
      <c r="P240" s="236"/>
      <c r="Q240" s="236"/>
      <c r="R240" s="236"/>
      <c r="S240" s="236"/>
      <c r="T240" s="236"/>
      <c r="U240" s="236"/>
      <c r="V240" s="236"/>
      <c r="W240" s="236"/>
      <c r="X240" s="236"/>
      <c r="Y240" s="236"/>
      <c r="Z240" s="236"/>
      <c r="AA240" s="236"/>
      <c r="AB240" s="236"/>
      <c r="AC240" s="236"/>
      <c r="AD240" s="236"/>
      <c r="AE240" s="236"/>
      <c r="AF240" s="236"/>
      <c r="AG240" s="236"/>
      <c r="AH240" s="236"/>
      <c r="AI240" s="236"/>
      <c r="AJ240" s="236"/>
      <c r="AK240" s="236"/>
      <c r="AL240" s="236"/>
      <c r="AM240" s="236"/>
      <c r="AN240" s="236"/>
      <c r="AO240" s="236"/>
      <c r="AP240" s="236"/>
      <c r="AQ240" s="236"/>
      <c r="AR240" s="236"/>
      <c r="AS240" s="236"/>
      <c r="AT240" s="236"/>
      <c r="AU240" s="236"/>
      <c r="AV240" s="236"/>
      <c r="AW240" s="236"/>
      <c r="AX240" s="236"/>
      <c r="AY240" s="236"/>
      <c r="AZ240" s="236"/>
      <c r="BA240" s="236"/>
      <c r="BB240" s="236"/>
      <c r="BC240" s="236"/>
      <c r="BD240" s="236"/>
      <c r="BE240" s="236"/>
      <c r="BF240" s="236"/>
      <c r="BG240" s="236"/>
      <c r="BH240" s="236"/>
      <c r="BI240" s="236"/>
      <c r="BJ240" s="236"/>
      <c r="BK240" s="236"/>
      <c r="BL240" s="236"/>
      <c r="BM240" s="236"/>
      <c r="BN240" s="236"/>
      <c r="BO240" s="236"/>
      <c r="BP240" s="236"/>
      <c r="BQ240" s="236"/>
      <c r="BR240" s="236"/>
      <c r="BS240" s="236"/>
      <c r="BT240" s="236"/>
      <c r="BU240" s="236"/>
      <c r="BV240" s="236"/>
      <c r="BW240" s="236"/>
      <c r="BX240" s="236"/>
      <c r="BY240" s="236"/>
      <c r="BZ240" s="236"/>
      <c r="CA240" s="236"/>
      <c r="CB240" s="236"/>
      <c r="CC240" s="236"/>
      <c r="CD240" s="236"/>
      <c r="CE240" s="236"/>
    </row>
  </sheetData>
  <printOptions horizontalCentered="1" verticalCentered="1"/>
  <pageMargins left="0.25" right="0.25" top="0.75" bottom="0.75" header="0.5" footer="0.5"/>
  <pageSetup scale="41" fitToHeight="2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A2:CE233"/>
  <sheetViews>
    <sheetView showGridLines="0" view="pageBreakPreview" topLeftCell="A2" zoomScale="80" zoomScaleNormal="100" zoomScaleSheetLayoutView="80" workbookViewId="0">
      <pane xSplit="57" ySplit="4" topLeftCell="BH6" activePane="bottomRight" state="frozen"/>
      <selection activeCell="A2" sqref="A2"/>
      <selection pane="topRight" activeCell="BF2" sqref="BF2"/>
      <selection pane="bottomLeft" activeCell="A6" sqref="A6"/>
      <selection pane="bottomRight" activeCell="BQ24" sqref="BQ24"/>
    </sheetView>
  </sheetViews>
  <sheetFormatPr defaultRowHeight="14.25" outlineLevelRow="2" outlineLevelCol="2"/>
  <cols>
    <col min="1" max="1" width="2.3984375" customWidth="1"/>
    <col min="2" max="2" width="43.59765625" customWidth="1"/>
    <col min="3" max="3" width="1.59765625" customWidth="1"/>
    <col min="4" max="7" width="11.3984375" style="261" hidden="1" customWidth="1" outlineLevel="2"/>
    <col min="8" max="8" width="10.59765625" style="261" hidden="1" customWidth="1" outlineLevel="1"/>
    <col min="9" max="12" width="11.3984375" style="261" hidden="1" customWidth="1" outlineLevel="2"/>
    <col min="13" max="13" width="10.59765625" style="261" hidden="1" customWidth="1" outlineLevel="1"/>
    <col min="14" max="17" width="11.3984375" style="261" hidden="1" customWidth="1" outlineLevel="2"/>
    <col min="18" max="18" width="12.3984375" style="261" hidden="1" customWidth="1" collapsed="1"/>
    <col min="19" max="22" width="11.3984375" style="261" hidden="1" customWidth="1" outlineLevel="1"/>
    <col min="23" max="23" width="12.3984375" style="261" hidden="1" customWidth="1" collapsed="1"/>
    <col min="24" max="27" width="11.3984375" style="261" hidden="1" customWidth="1" outlineLevel="1"/>
    <col min="28" max="28" width="12.59765625" style="261" hidden="1" customWidth="1" collapsed="1"/>
    <col min="29" max="30" width="11.59765625" style="261" hidden="1" customWidth="1" outlineLevel="1"/>
    <col min="31" max="31" width="11.3984375" style="261" hidden="1" customWidth="1" outlineLevel="1"/>
    <col min="32" max="32" width="11.59765625" style="261" hidden="1" customWidth="1" outlineLevel="1"/>
    <col min="33" max="33" width="10.3984375" style="261" hidden="1" customWidth="1" collapsed="1"/>
    <col min="34" max="34" width="11.3984375" style="261" hidden="1" customWidth="1" outlineLevel="1"/>
    <col min="35" max="35" width="11" style="261" hidden="1" customWidth="1" outlineLevel="1"/>
    <col min="36" max="37" width="11.3984375" style="261" hidden="1" customWidth="1" outlineLevel="1"/>
    <col min="38" max="38" width="12.59765625" style="261" hidden="1" customWidth="1" collapsed="1"/>
    <col min="39" max="39" width="11.3984375" style="261" hidden="1" customWidth="1" outlineLevel="1"/>
    <col min="40" max="40" width="11" style="261" hidden="1" customWidth="1" outlineLevel="1"/>
    <col min="41" max="42" width="11.3984375" style="261" hidden="1" customWidth="1" outlineLevel="1"/>
    <col min="43" max="43" width="12.59765625" style="261" hidden="1" customWidth="1" collapsed="1"/>
    <col min="44" max="44" width="11.3984375" style="261" hidden="1" customWidth="1" outlineLevel="1"/>
    <col min="45" max="45" width="11" style="261" hidden="1" customWidth="1" outlineLevel="1"/>
    <col min="46" max="47" width="11.3984375" style="261" hidden="1" customWidth="1" outlineLevel="1"/>
    <col min="48" max="48" width="12.59765625" style="261" hidden="1" customWidth="1" collapsed="1"/>
    <col min="49" max="49" width="11.3984375" style="261" hidden="1" customWidth="1" outlineLevel="1"/>
    <col min="50" max="50" width="11" style="261" hidden="1" customWidth="1" outlineLevel="1"/>
    <col min="51" max="52" width="11.3984375" style="261" hidden="1" customWidth="1" outlineLevel="1"/>
    <col min="53" max="53" width="12.59765625" style="261" hidden="1" customWidth="1" collapsed="1"/>
    <col min="54" max="54" width="11.3984375" style="261" hidden="1" customWidth="1" outlineLevel="1"/>
    <col min="55" max="55" width="11" style="261" hidden="1" customWidth="1" outlineLevel="1"/>
    <col min="56" max="57" width="11.3984375" style="261" hidden="1" customWidth="1" outlineLevel="1"/>
    <col min="58" max="58" width="12.59765625" style="261" bestFit="1" customWidth="1" collapsed="1"/>
    <col min="59" max="59" width="11.3984375" style="261" customWidth="1" outlineLevel="1"/>
    <col min="60" max="60" width="11" style="261" customWidth="1" outlineLevel="1"/>
    <col min="61" max="62" width="11.3984375" style="261" customWidth="1" outlineLevel="1"/>
    <col min="63" max="63" width="12.59765625" style="261" bestFit="1" customWidth="1"/>
    <col min="64" max="64" width="11.59765625" customWidth="1" outlineLevel="1"/>
    <col min="65" max="67" width="11.3984375" customWidth="1" outlineLevel="1"/>
    <col min="68" max="68" width="10.3984375" bestFit="1" customWidth="1"/>
    <col min="69" max="69" width="11.59765625" customWidth="1" outlineLevel="1"/>
    <col min="70" max="70" width="11.3984375" customWidth="1" outlineLevel="1"/>
    <col min="71" max="71" width="11.59765625" customWidth="1" outlineLevel="1"/>
    <col min="72" max="72" width="11.3984375" customWidth="1" outlineLevel="1"/>
    <col min="73" max="73" width="10.3984375" bestFit="1" customWidth="1"/>
    <col min="74" max="74" width="11.59765625" customWidth="1" outlineLevel="1"/>
    <col min="75" max="75" width="11.3984375" customWidth="1" outlineLevel="1"/>
    <col min="76" max="76" width="11.59765625" customWidth="1" outlineLevel="1"/>
    <col min="77" max="77" width="11.3984375" customWidth="1" outlineLevel="1"/>
    <col min="78" max="78" width="10.3984375" bestFit="1" customWidth="1"/>
    <col min="79" max="79" width="11.59765625" customWidth="1" outlineLevel="1"/>
    <col min="80" max="80" width="11.3984375" customWidth="1" outlineLevel="1"/>
    <col min="81" max="81" width="11.59765625" customWidth="1" outlineLevel="1"/>
    <col min="82" max="82" width="11.3984375" customWidth="1" outlineLevel="1"/>
    <col min="83" max="83" width="10.3984375" bestFit="1" customWidth="1"/>
  </cols>
  <sheetData>
    <row r="2" spans="2:83" s="121" customFormat="1" thickBot="1">
      <c r="B2" s="650"/>
      <c r="C2" s="651"/>
      <c r="D2" s="652"/>
      <c r="E2" s="652"/>
      <c r="F2" s="652"/>
      <c r="G2" s="652"/>
      <c r="H2" s="653"/>
      <c r="I2" s="652"/>
      <c r="J2" s="652"/>
      <c r="K2" s="652"/>
      <c r="L2" s="652"/>
      <c r="M2" s="653"/>
      <c r="N2" s="652"/>
      <c r="O2" s="652"/>
      <c r="P2" s="652"/>
      <c r="Q2" s="652"/>
      <c r="R2" s="653"/>
      <c r="S2" s="653"/>
      <c r="T2" s="653"/>
      <c r="U2" s="653"/>
      <c r="V2" s="653"/>
      <c r="W2" s="653"/>
      <c r="X2" s="653"/>
      <c r="Y2" s="653"/>
      <c r="Z2" s="653"/>
      <c r="AA2" s="653"/>
      <c r="AB2" s="653"/>
      <c r="AC2" s="653"/>
      <c r="AD2" s="653"/>
      <c r="AE2" s="653"/>
      <c r="AF2" s="653"/>
      <c r="AG2" s="653"/>
      <c r="AH2" s="653"/>
      <c r="AI2" s="653"/>
      <c r="AJ2" s="653"/>
      <c r="AK2" s="653"/>
      <c r="AL2" s="653"/>
      <c r="AM2" s="653"/>
      <c r="AN2" s="653"/>
      <c r="AO2" s="653"/>
      <c r="AP2" s="653"/>
      <c r="AQ2" s="653"/>
      <c r="AR2" s="653"/>
      <c r="AS2" s="653"/>
      <c r="AT2" s="653"/>
      <c r="AU2" s="653"/>
      <c r="AV2" s="653"/>
      <c r="AW2" s="653"/>
      <c r="AX2" s="653"/>
      <c r="AY2" s="653"/>
      <c r="AZ2" s="653"/>
      <c r="BA2" s="653"/>
      <c r="BB2" s="653"/>
      <c r="BC2" s="653"/>
      <c r="BD2" s="653"/>
      <c r="BE2" s="653"/>
      <c r="BF2" s="653"/>
      <c r="BG2" s="653"/>
      <c r="BH2" s="653"/>
      <c r="BI2" s="653"/>
      <c r="BJ2" s="653"/>
      <c r="BK2" s="653"/>
      <c r="BL2" s="653"/>
      <c r="BM2" s="653"/>
      <c r="BN2" s="653"/>
      <c r="BO2" s="653"/>
      <c r="BP2" s="653"/>
      <c r="BQ2" s="653"/>
      <c r="BR2" s="653"/>
      <c r="BS2" s="653"/>
      <c r="BT2" s="653"/>
      <c r="BU2" s="653"/>
      <c r="BV2" s="653"/>
      <c r="BW2" s="653"/>
      <c r="BX2" s="653"/>
      <c r="BY2" s="653"/>
      <c r="BZ2" s="653"/>
      <c r="CA2" s="653"/>
      <c r="CB2" s="653"/>
      <c r="CC2" s="653"/>
      <c r="CD2" s="653"/>
      <c r="CE2" s="653"/>
    </row>
    <row r="3" spans="2:83" s="121" customFormat="1" ht="17.649999999999999">
      <c r="B3" s="263" t="s">
        <v>171</v>
      </c>
      <c r="C3" s="123"/>
      <c r="D3" s="252"/>
      <c r="E3" s="252"/>
      <c r="F3" s="252"/>
      <c r="G3" s="253"/>
      <c r="H3" s="254"/>
      <c r="I3" s="252"/>
      <c r="J3" s="252"/>
      <c r="K3" s="252"/>
      <c r="L3" s="253"/>
      <c r="M3" s="254"/>
      <c r="N3" s="252"/>
      <c r="O3" s="252"/>
      <c r="P3" s="252"/>
      <c r="Q3" s="253"/>
      <c r="R3" s="254"/>
      <c r="S3" s="252"/>
      <c r="T3" s="252"/>
      <c r="U3" s="252"/>
      <c r="V3" s="255"/>
      <c r="W3" s="254"/>
      <c r="X3" s="252"/>
      <c r="Y3" s="252"/>
      <c r="Z3" s="252"/>
      <c r="AA3" s="252"/>
      <c r="AB3" s="256"/>
      <c r="AC3" s="252"/>
      <c r="AD3" s="252"/>
      <c r="AE3" s="252"/>
      <c r="AF3" s="252"/>
      <c r="AG3" s="256"/>
      <c r="AH3" s="252"/>
      <c r="AI3" s="252"/>
      <c r="AJ3" s="252"/>
      <c r="AK3" s="252"/>
      <c r="AL3" s="256"/>
      <c r="AM3" s="252"/>
      <c r="AN3" s="252"/>
      <c r="AO3" s="252"/>
      <c r="AP3" s="252"/>
      <c r="AQ3" s="256"/>
      <c r="AR3" s="252"/>
      <c r="AS3" s="252"/>
      <c r="AT3" s="252"/>
      <c r="AU3" s="252"/>
      <c r="AV3" s="256"/>
      <c r="AW3" s="252"/>
      <c r="AX3" s="252"/>
      <c r="AY3" s="252"/>
      <c r="AZ3" s="252"/>
      <c r="BA3" s="256"/>
      <c r="BB3" s="252"/>
      <c r="BC3" s="252"/>
      <c r="BD3" s="252"/>
      <c r="BE3" s="252"/>
      <c r="BF3" s="781"/>
      <c r="BG3" s="781"/>
      <c r="BH3" s="781"/>
      <c r="BI3" s="781"/>
      <c r="BJ3" s="781"/>
      <c r="BK3" s="781"/>
      <c r="BL3" s="781"/>
      <c r="BM3" s="781"/>
      <c r="BN3" s="781"/>
      <c r="BO3" s="781"/>
      <c r="BP3" s="781"/>
      <c r="BQ3" s="781"/>
      <c r="BR3" s="781"/>
      <c r="BS3" s="781"/>
      <c r="BT3" s="781"/>
      <c r="BU3" s="781"/>
      <c r="BV3" s="781"/>
      <c r="BW3" s="781"/>
      <c r="BX3" s="781"/>
      <c r="BY3" s="781"/>
      <c r="BZ3" s="781"/>
      <c r="CA3" s="781"/>
      <c r="CB3" s="781"/>
      <c r="CC3" s="781"/>
      <c r="CD3" s="781"/>
      <c r="CE3" s="781"/>
    </row>
    <row r="4" spans="2:83" s="121" customFormat="1" ht="13.15">
      <c r="B4" s="273" t="s">
        <v>292</v>
      </c>
      <c r="C4" s="273"/>
      <c r="D4" s="257" t="str">
        <f>+IS!D5</f>
        <v>2012A</v>
      </c>
      <c r="E4" s="257"/>
      <c r="F4" s="258"/>
      <c r="G4" s="258"/>
      <c r="H4" s="259" t="s">
        <v>239</v>
      </c>
      <c r="I4" s="257" t="str">
        <f>+IS!I5</f>
        <v>2013A</v>
      </c>
      <c r="J4" s="257"/>
      <c r="K4" s="258"/>
      <c r="L4" s="258"/>
      <c r="M4" s="259" t="s">
        <v>239</v>
      </c>
      <c r="N4" s="257" t="str">
        <f>+IS!N5</f>
        <v>2014A</v>
      </c>
      <c r="O4" s="257"/>
      <c r="P4" s="258"/>
      <c r="Q4" s="258"/>
      <c r="R4" s="528" t="s">
        <v>239</v>
      </c>
      <c r="S4" s="257" t="str">
        <f>+IS!S5</f>
        <v>2015A</v>
      </c>
      <c r="T4" s="257"/>
      <c r="U4" s="258"/>
      <c r="V4" s="258"/>
      <c r="W4" s="528" t="s">
        <v>239</v>
      </c>
      <c r="X4" s="257" t="str">
        <f>+IS!X5</f>
        <v>2016A</v>
      </c>
      <c r="Y4" s="257"/>
      <c r="Z4" s="258"/>
      <c r="AA4" s="258"/>
      <c r="AB4" s="528" t="s">
        <v>239</v>
      </c>
      <c r="AC4" s="257" t="str">
        <f>+IS!AC5</f>
        <v>2017A</v>
      </c>
      <c r="AD4" s="257"/>
      <c r="AE4" s="258"/>
      <c r="AF4" s="258"/>
      <c r="AG4" s="528" t="s">
        <v>239</v>
      </c>
      <c r="AH4" s="257" t="str">
        <f>+IS!AH5</f>
        <v>2018A</v>
      </c>
      <c r="AI4" s="257"/>
      <c r="AJ4" s="258"/>
      <c r="AK4" s="258"/>
      <c r="AL4" s="528" t="s">
        <v>239</v>
      </c>
      <c r="AM4" s="257" t="str">
        <f>+IS!AM5</f>
        <v>2019A</v>
      </c>
      <c r="AN4" s="257"/>
      <c r="AO4" s="258"/>
      <c r="AP4" s="258"/>
      <c r="AQ4" s="528" t="s">
        <v>239</v>
      </c>
      <c r="AR4" s="257" t="str">
        <f>+IS!AR5</f>
        <v>2020A</v>
      </c>
      <c r="AS4" s="257"/>
      <c r="AT4" s="258"/>
      <c r="AU4" s="258"/>
      <c r="AV4" s="528" t="s">
        <v>239</v>
      </c>
      <c r="AW4" s="257" t="str">
        <f>+IS!AW5</f>
        <v>2021A</v>
      </c>
      <c r="AX4" s="257"/>
      <c r="AY4" s="258"/>
      <c r="AZ4" s="258"/>
      <c r="BA4" s="528" t="s">
        <v>239</v>
      </c>
      <c r="BB4" s="257" t="str">
        <f>+IS!BB5</f>
        <v>2022A</v>
      </c>
      <c r="BC4" s="257"/>
      <c r="BD4" s="258"/>
      <c r="BE4" s="258"/>
      <c r="BF4" s="528" t="s">
        <v>239</v>
      </c>
      <c r="BG4" s="257" t="str">
        <f>+IS!BG5</f>
        <v>2023A</v>
      </c>
      <c r="BH4" s="257"/>
      <c r="BI4" s="258"/>
      <c r="BJ4" s="258"/>
      <c r="BK4" s="528" t="s">
        <v>239</v>
      </c>
      <c r="BL4" s="257" t="str">
        <f>+IS!BL5</f>
        <v>2024A</v>
      </c>
      <c r="BM4" s="257"/>
      <c r="BN4" s="258"/>
      <c r="BO4" s="729"/>
      <c r="BP4" s="528" t="s">
        <v>239</v>
      </c>
      <c r="BQ4" s="257" t="str">
        <f>+IS!BQ5</f>
        <v>2025A</v>
      </c>
      <c r="BR4" s="257"/>
      <c r="BS4" s="258"/>
      <c r="BT4" s="258"/>
      <c r="BU4" s="528" t="s">
        <v>239</v>
      </c>
      <c r="BV4" s="257" t="str">
        <f>+IS!BV5</f>
        <v>2026E</v>
      </c>
      <c r="BW4" s="257"/>
      <c r="BX4" s="258"/>
      <c r="BY4" s="258"/>
      <c r="BZ4" s="528" t="s">
        <v>239</v>
      </c>
      <c r="CA4" s="257" t="str">
        <f>+IS!CA5</f>
        <v>2027E</v>
      </c>
      <c r="CB4" s="257"/>
      <c r="CC4" s="258"/>
      <c r="CD4" s="258"/>
      <c r="CE4" s="528" t="s">
        <v>239</v>
      </c>
    </row>
    <row r="5" spans="2:83" s="121" customFormat="1" ht="13.15">
      <c r="B5" s="274"/>
      <c r="C5" s="260"/>
      <c r="D5" s="260" t="str">
        <f>+IS!D6</f>
        <v>1Q-Mar 12A</v>
      </c>
      <c r="E5" s="260" t="str">
        <f>+IS!E6</f>
        <v>2Q-Jun 12A</v>
      </c>
      <c r="F5" s="260" t="str">
        <f>+IS!F6</f>
        <v>3Q-Sep 12A</v>
      </c>
      <c r="G5" s="260" t="str">
        <f>+IS!G6</f>
        <v>4Q-Dec 12A</v>
      </c>
      <c r="H5" s="260" t="str">
        <f>+IS!H6</f>
        <v>2012A</v>
      </c>
      <c r="I5" s="260" t="str">
        <f>+IS!I6</f>
        <v>1Q-Mar 13A</v>
      </c>
      <c r="J5" s="260" t="str">
        <f>+IS!J6</f>
        <v>2Q-Jun 13A</v>
      </c>
      <c r="K5" s="260" t="str">
        <f>+IS!K6</f>
        <v>3Q-Sep 13A</v>
      </c>
      <c r="L5" s="260" t="str">
        <f>+IS!L6</f>
        <v>4Q-Dec 13A</v>
      </c>
      <c r="M5" s="260" t="str">
        <f>+IS!M6</f>
        <v>2013A</v>
      </c>
      <c r="N5" s="260" t="str">
        <f>+IS!N6</f>
        <v>1Q-Mar 14A</v>
      </c>
      <c r="O5" s="260" t="str">
        <f>+IS!O6</f>
        <v>2Q-Jun 14A</v>
      </c>
      <c r="P5" s="260" t="str">
        <f>+IS!P6</f>
        <v>3Q-Sep 14A</v>
      </c>
      <c r="Q5" s="260" t="str">
        <f>+IS!Q6</f>
        <v>4Q-Dec 14A</v>
      </c>
      <c r="R5" s="528" t="str">
        <f>+IS!R6</f>
        <v>2014A</v>
      </c>
      <c r="S5" s="260" t="str">
        <f>+IS!S6</f>
        <v>1Q-Mar 15A</v>
      </c>
      <c r="T5" s="260" t="str">
        <f>+IS!T6</f>
        <v>2Q-Jun 15A</v>
      </c>
      <c r="U5" s="260" t="str">
        <f>+IS!U6</f>
        <v>3Q-Sep 15A</v>
      </c>
      <c r="V5" s="260" t="str">
        <f>+IS!V6</f>
        <v>4Q-Dec 15A</v>
      </c>
      <c r="W5" s="528" t="str">
        <f>+IS!W6</f>
        <v>2015A</v>
      </c>
      <c r="X5" s="260" t="str">
        <f>+IS!X6</f>
        <v>1Q-Mar 16A</v>
      </c>
      <c r="Y5" s="260" t="str">
        <f>+IS!Y6</f>
        <v>2Q-Jun 16A</v>
      </c>
      <c r="Z5" s="260" t="str">
        <f>+IS!Z6</f>
        <v>3Q-Sep 16A</v>
      </c>
      <c r="AA5" s="260" t="str">
        <f>+IS!AA6</f>
        <v>4Q-Dec 16A</v>
      </c>
      <c r="AB5" s="528" t="str">
        <f>+IS!AB6</f>
        <v>2016A</v>
      </c>
      <c r="AC5" s="260" t="str">
        <f>+IS!AC6</f>
        <v>1Q-Mar 17A</v>
      </c>
      <c r="AD5" s="260" t="str">
        <f>+IS!AD6</f>
        <v>2Q-Jun 17A</v>
      </c>
      <c r="AE5" s="260" t="str">
        <f>+IS!AE6</f>
        <v>3Q-Sep 17A</v>
      </c>
      <c r="AF5" s="260" t="str">
        <f>+IS!AF6</f>
        <v>4Q-Dec 17A</v>
      </c>
      <c r="AG5" s="528" t="str">
        <f>+IS!AG6</f>
        <v>2017A</v>
      </c>
      <c r="AH5" s="260" t="str">
        <f>+IS!AH6</f>
        <v>1Q-Mar 18A</v>
      </c>
      <c r="AI5" s="260" t="str">
        <f>+IS!AI6</f>
        <v>2Q-Jun 18A</v>
      </c>
      <c r="AJ5" s="260" t="str">
        <f>+IS!AJ6</f>
        <v>3Q-Sep 18A</v>
      </c>
      <c r="AK5" s="454" t="str">
        <f>+IS!AK6</f>
        <v>4Q-Dec 18A</v>
      </c>
      <c r="AL5" s="528" t="str">
        <f>+IS!AL6</f>
        <v>2018A</v>
      </c>
      <c r="AM5" s="454" t="str">
        <f>+IS!AM6</f>
        <v>1Q-Mar 19A</v>
      </c>
      <c r="AN5" s="466" t="str">
        <f>+IS!AN6</f>
        <v>2Q-Jun 19A</v>
      </c>
      <c r="AO5" s="466" t="str">
        <f>+IS!AO6</f>
        <v>3Q-Sep 19A</v>
      </c>
      <c r="AP5" s="260" t="str">
        <f>+IS!AP6</f>
        <v>4Q-Dec 19A</v>
      </c>
      <c r="AQ5" s="528" t="str">
        <f>+IS!AQ6</f>
        <v>2019A</v>
      </c>
      <c r="AR5" s="260" t="str">
        <f>+IS!AR6</f>
        <v>1Q-Mar 20A</v>
      </c>
      <c r="AS5" s="260" t="str">
        <f>+IS!AS6</f>
        <v>2Q-Jun 20A</v>
      </c>
      <c r="AT5" s="466" t="str">
        <f>+IS!AT6</f>
        <v>3Q-Sep 20A</v>
      </c>
      <c r="AU5" s="260" t="str">
        <f>+IS!AU6</f>
        <v>4Q-Dec 20A</v>
      </c>
      <c r="AV5" s="528" t="str">
        <f>+IS!AV6</f>
        <v>2020A</v>
      </c>
      <c r="AW5" s="260" t="str">
        <f>+IS!AW6</f>
        <v>1Q-Mar 21A</v>
      </c>
      <c r="AX5" s="260" t="str">
        <f>+IS!AX6</f>
        <v>2Q-Jun 21A</v>
      </c>
      <c r="AY5" s="260" t="str">
        <f>+IS!AY6</f>
        <v>3Q-Sep 21A</v>
      </c>
      <c r="AZ5" s="260" t="str">
        <f>+IS!AZ6</f>
        <v>4Q-Dec 21A</v>
      </c>
      <c r="BA5" s="528" t="str">
        <f>+IS!BA6</f>
        <v>2021A</v>
      </c>
      <c r="BB5" s="260" t="str">
        <f>+IS!BB6</f>
        <v>1Q-Mar 22A</v>
      </c>
      <c r="BC5" s="260" t="str">
        <f>+IS!BC6</f>
        <v>2Q-Jun 22A</v>
      </c>
      <c r="BD5" s="260" t="str">
        <f>+IS!BD6</f>
        <v>3Q-Sep 22A</v>
      </c>
      <c r="BE5" s="260" t="str">
        <f>+IS!BE6</f>
        <v>4Q-Dec 22A</v>
      </c>
      <c r="BF5" s="528" t="str">
        <f>+IS!BF6</f>
        <v>2022A</v>
      </c>
      <c r="BG5" s="260" t="str">
        <f>+IS!BG6</f>
        <v>1Q-Mar 23A</v>
      </c>
      <c r="BH5" s="260" t="str">
        <f>+IS!BH6</f>
        <v>2Q-Jun 23A</v>
      </c>
      <c r="BI5" s="260" t="str">
        <f>+IS!BI6</f>
        <v>3Q-Sep 23A</v>
      </c>
      <c r="BJ5" s="260" t="str">
        <f>+IS!BJ6</f>
        <v>4Q-Dec 23A</v>
      </c>
      <c r="BK5" s="528" t="str">
        <f>+IS!BK6</f>
        <v>2023A</v>
      </c>
      <c r="BL5" s="260" t="str">
        <f>+IS!BL6</f>
        <v>1Q-Mar 24A</v>
      </c>
      <c r="BM5" s="260" t="str">
        <f>+IS!BM6</f>
        <v>2Q-Jun 24A</v>
      </c>
      <c r="BN5" s="260" t="str">
        <f>+IS!BN6</f>
        <v>3Q-Sep 24A</v>
      </c>
      <c r="BO5" s="260" t="str">
        <f>+IS!BO6</f>
        <v>4Q-Dec 24A</v>
      </c>
      <c r="BP5" s="528" t="str">
        <f>+IS!BP6</f>
        <v>2024A</v>
      </c>
      <c r="BQ5" s="260" t="str">
        <f>+IS!BQ6</f>
        <v>1Q-Mar 25A</v>
      </c>
      <c r="BR5" s="260" t="str">
        <f>+IS!BR6</f>
        <v>2Q-Jun 25A</v>
      </c>
      <c r="BS5" s="260" t="str">
        <f>+IS!BS6</f>
        <v>3Q-Sep 25A</v>
      </c>
      <c r="BT5" s="260" t="str">
        <f>+IS!BT6</f>
        <v>4Q-Dec 25A</v>
      </c>
      <c r="BU5" s="528" t="str">
        <f>+IS!BU6</f>
        <v>2025A</v>
      </c>
      <c r="BV5" s="260" t="str">
        <f>+IS!BV6</f>
        <v>1Q-Mar 26E</v>
      </c>
      <c r="BW5" s="260" t="str">
        <f>+IS!BW6</f>
        <v>2Q-Jun 26E</v>
      </c>
      <c r="BX5" s="260" t="str">
        <f>+IS!BX6</f>
        <v>3Q-Sep 26E</v>
      </c>
      <c r="BY5" s="260" t="str">
        <f>+IS!BY6</f>
        <v>4Q-Dec 26E</v>
      </c>
      <c r="BZ5" s="528" t="str">
        <f>+IS!BZ6</f>
        <v>2026E</v>
      </c>
      <c r="CA5" s="260" t="str">
        <f>+IS!CA6</f>
        <v>1Q-Mar 27E</v>
      </c>
      <c r="CB5" s="260" t="str">
        <f>+IS!CB6</f>
        <v>2Q-Jun 27E</v>
      </c>
      <c r="CC5" s="260" t="str">
        <f>+IS!CC6</f>
        <v>3Q-Sep 27E</v>
      </c>
      <c r="CD5" s="260" t="str">
        <f>+IS!CD6</f>
        <v>4Q-Dec 27E</v>
      </c>
      <c r="CE5" s="528" t="str">
        <f>+IS!CE6</f>
        <v>2027E</v>
      </c>
    </row>
    <row r="6" spans="2:83" s="121" customFormat="1" ht="13.15">
      <c r="B6" s="274"/>
      <c r="C6" s="275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529"/>
      <c r="S6" s="276"/>
      <c r="T6" s="276"/>
      <c r="U6" s="276"/>
      <c r="V6" s="276"/>
      <c r="W6" s="529"/>
      <c r="X6" s="276"/>
      <c r="Y6" s="276"/>
      <c r="Z6" s="276"/>
      <c r="AA6" s="276"/>
      <c r="AB6" s="529"/>
      <c r="AC6" s="276"/>
      <c r="AD6" s="276"/>
      <c r="AE6" s="276"/>
      <c r="AF6" s="276"/>
      <c r="AG6" s="529"/>
      <c r="AH6" s="276"/>
      <c r="AI6" s="276"/>
      <c r="AJ6" s="276"/>
      <c r="AK6" s="276"/>
      <c r="AL6" s="529"/>
      <c r="AM6" s="276"/>
      <c r="AN6" s="573"/>
      <c r="AO6" s="573"/>
      <c r="AP6" s="276"/>
      <c r="AQ6" s="529"/>
      <c r="AR6" s="276"/>
      <c r="AS6" s="276"/>
      <c r="AT6" s="573"/>
      <c r="AU6" s="276"/>
      <c r="AV6" s="529"/>
      <c r="AW6" s="276"/>
      <c r="AX6" s="276"/>
      <c r="AY6" s="276"/>
      <c r="AZ6" s="276"/>
      <c r="BA6" s="529"/>
      <c r="BB6" s="276"/>
      <c r="BC6" s="276"/>
      <c r="BD6" s="276"/>
      <c r="BE6" s="276"/>
      <c r="BF6" s="529"/>
      <c r="BG6" s="276"/>
      <c r="BH6" s="276"/>
      <c r="BI6" s="276"/>
      <c r="BJ6" s="276"/>
      <c r="BK6" s="529"/>
      <c r="BL6" s="276"/>
      <c r="BM6" s="276"/>
      <c r="BN6" s="276"/>
      <c r="BO6" s="276"/>
      <c r="BP6" s="529"/>
      <c r="BQ6" s="276"/>
      <c r="BR6" s="276"/>
      <c r="BS6" s="276"/>
      <c r="BT6" s="276"/>
      <c r="BU6" s="529"/>
      <c r="BV6" s="276"/>
      <c r="BW6" s="276"/>
      <c r="BX6" s="276"/>
      <c r="BY6" s="276"/>
      <c r="BZ6" s="529"/>
      <c r="CA6" s="276"/>
      <c r="CB6" s="276"/>
      <c r="CC6" s="276"/>
      <c r="CD6" s="276"/>
      <c r="CE6" s="529"/>
    </row>
    <row r="7" spans="2:83" s="121" customFormat="1" ht="13.15">
      <c r="B7" s="274"/>
      <c r="C7" s="275"/>
      <c r="D7" s="276"/>
      <c r="E7" s="276"/>
      <c r="F7" s="276"/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529"/>
      <c r="S7" s="276"/>
      <c r="T7" s="276"/>
      <c r="U7" s="276"/>
      <c r="V7" s="276"/>
      <c r="W7" s="529"/>
      <c r="X7" s="276"/>
      <c r="Y7" s="276"/>
      <c r="Z7" s="276"/>
      <c r="AA7" s="276"/>
      <c r="AB7" s="529"/>
      <c r="AC7" s="280"/>
      <c r="AD7" s="280"/>
      <c r="AE7" s="280"/>
      <c r="AF7" s="280"/>
      <c r="AG7" s="530"/>
      <c r="AH7" s="280"/>
      <c r="AI7" s="280"/>
      <c r="AJ7" s="280"/>
      <c r="AK7" s="280"/>
      <c r="AL7" s="530"/>
      <c r="AM7" s="280"/>
      <c r="AN7" s="280"/>
      <c r="AO7" s="622"/>
      <c r="AP7" s="280"/>
      <c r="AQ7" s="530"/>
      <c r="AR7" s="280"/>
      <c r="AS7" s="280"/>
      <c r="AT7" s="622"/>
      <c r="AU7" s="280"/>
      <c r="AV7" s="530"/>
      <c r="AW7" s="280"/>
      <c r="AX7" s="280"/>
      <c r="AY7" s="280"/>
      <c r="AZ7" s="280"/>
      <c r="BA7" s="530"/>
      <c r="BB7" s="280"/>
      <c r="BC7" s="280"/>
      <c r="BD7" s="280"/>
      <c r="BE7" s="280"/>
      <c r="BF7" s="530"/>
      <c r="BG7" s="280"/>
      <c r="BH7" s="280"/>
      <c r="BI7" s="280"/>
      <c r="BJ7" s="280"/>
      <c r="BK7" s="530"/>
      <c r="BL7" s="280"/>
      <c r="BM7" s="280"/>
      <c r="BN7" s="280"/>
      <c r="BO7" s="280"/>
      <c r="BP7" s="530"/>
      <c r="BQ7" s="280"/>
      <c r="BR7" s="280"/>
      <c r="BS7" s="280"/>
      <c r="BT7" s="280"/>
      <c r="BU7" s="530"/>
      <c r="BV7" s="280"/>
      <c r="BW7" s="280"/>
      <c r="BX7" s="280"/>
      <c r="BY7" s="280"/>
      <c r="BZ7" s="530"/>
      <c r="CA7" s="280"/>
      <c r="CB7" s="280"/>
      <c r="CC7" s="280"/>
      <c r="CD7" s="280"/>
      <c r="CE7" s="530"/>
    </row>
    <row r="8" spans="2:83" s="121" customFormat="1" ht="12.75">
      <c r="B8" s="273" t="s">
        <v>160</v>
      </c>
      <c r="C8" s="275"/>
      <c r="D8" s="280">
        <f>+IS!D9</f>
        <v>21191</v>
      </c>
      <c r="E8" s="280">
        <f>+IS!E9</f>
        <v>22190</v>
      </c>
      <c r="F8" s="280">
        <f>+IS!F9</f>
        <v>23382</v>
      </c>
      <c r="G8" s="280">
        <f>+IS!G9</f>
        <v>24657</v>
      </c>
      <c r="H8" s="280">
        <f>+IS!H9</f>
        <v>91420</v>
      </c>
      <c r="I8" s="280">
        <f>+IS!I9</f>
        <v>24883</v>
      </c>
      <c r="J8" s="280">
        <f>+IS!J9</f>
        <v>26291</v>
      </c>
      <c r="K8" s="280">
        <f>+IS!K9</f>
        <v>27749</v>
      </c>
      <c r="L8" s="280">
        <f>+IS!L9</f>
        <v>29039.000000000011</v>
      </c>
      <c r="M8" s="280">
        <f>+IS!M9</f>
        <v>107962.00000000001</v>
      </c>
      <c r="N8" s="280">
        <f>+IS!N9</f>
        <v>30356</v>
      </c>
      <c r="O8" s="280">
        <f>+IS!O9</f>
        <v>32302</v>
      </c>
      <c r="P8" s="280">
        <f>+IS!P9</f>
        <v>34348</v>
      </c>
      <c r="Q8" s="280">
        <f>+IS!Q9</f>
        <v>36573</v>
      </c>
      <c r="R8" s="530">
        <f>+IS!R9</f>
        <v>133579</v>
      </c>
      <c r="S8" s="280">
        <f>+IS!S9</f>
        <v>37493</v>
      </c>
      <c r="T8" s="280">
        <f>+IS!T9</f>
        <v>39877</v>
      </c>
      <c r="U8" s="280">
        <f>+IS!U9</f>
        <v>42469</v>
      </c>
      <c r="V8" s="280">
        <f>+IS!V9</f>
        <v>44445</v>
      </c>
      <c r="W8" s="530">
        <f>+IS!W9</f>
        <v>164284</v>
      </c>
      <c r="X8" s="280">
        <f>+IS!X9</f>
        <v>46248</v>
      </c>
      <c r="Y8" s="280">
        <f>+IS!Y9</f>
        <v>48466</v>
      </c>
      <c r="Z8" s="280">
        <f>+IS!Z9</f>
        <v>50987</v>
      </c>
      <c r="AA8" s="280">
        <f>+IS!AA9</f>
        <v>52224</v>
      </c>
      <c r="AB8" s="530">
        <f>+IS!AB9</f>
        <v>197925</v>
      </c>
      <c r="AC8" s="280">
        <f>+IS!AC9</f>
        <v>53121</v>
      </c>
      <c r="AD8" s="280">
        <f>+IS!AD9</f>
        <v>55302</v>
      </c>
      <c r="AE8" s="280">
        <f>+IS!AE9</f>
        <v>59490</v>
      </c>
      <c r="AF8" s="280">
        <f>+IS!AF9</f>
        <v>62915</v>
      </c>
      <c r="AG8" s="530">
        <f>+IS!AG9</f>
        <v>230828</v>
      </c>
      <c r="AH8" s="280">
        <f>+IS!AH9</f>
        <v>64878</v>
      </c>
      <c r="AI8" s="280">
        <f>+IS!AI9</f>
        <v>68153</v>
      </c>
      <c r="AJ8" s="280">
        <f>+IS!AJ9</f>
        <v>71658</v>
      </c>
      <c r="AK8" s="280">
        <f>+IS!AK9</f>
        <v>74200</v>
      </c>
      <c r="AL8" s="530">
        <f>+IS!AL9</f>
        <v>278889</v>
      </c>
      <c r="AM8" s="280">
        <f>+IS!AM9</f>
        <v>75343</v>
      </c>
      <c r="AN8" s="280">
        <f>+IS!AN9</f>
        <v>78929</v>
      </c>
      <c r="AO8" s="622">
        <f>+IS!AO9</f>
        <v>82671</v>
      </c>
      <c r="AP8" s="280">
        <f>+IS!AP9</f>
        <v>84664</v>
      </c>
      <c r="AQ8" s="530">
        <f>+IS!AQ9</f>
        <v>321607</v>
      </c>
      <c r="AR8" s="280">
        <f>+IS!AR9</f>
        <v>86263</v>
      </c>
      <c r="AS8" s="280">
        <f>+IS!AS9</f>
        <v>88830</v>
      </c>
      <c r="AT8" s="622">
        <f>+IS!AT9</f>
        <v>93069</v>
      </c>
      <c r="AU8" s="280">
        <f>+IS!AU9</f>
        <v>94801</v>
      </c>
      <c r="AV8" s="530">
        <f>+IS!AV9</f>
        <v>362963</v>
      </c>
      <c r="AW8" s="280">
        <f>+IS!AW9</f>
        <v>96756</v>
      </c>
      <c r="AX8" s="280">
        <f>+IS!AX9</f>
        <v>99702</v>
      </c>
      <c r="AY8" s="280">
        <f>+IS!AY9</f>
        <v>104934</v>
      </c>
      <c r="AZ8" s="280">
        <f>+IS!AZ9</f>
        <v>109780</v>
      </c>
      <c r="BA8" s="530">
        <f>+IS!BA9</f>
        <v>411172</v>
      </c>
      <c r="BB8" s="280">
        <f>+IS!BB9</f>
        <v>113420</v>
      </c>
      <c r="BC8" s="280">
        <f>+IS!BC9</f>
        <v>119893</v>
      </c>
      <c r="BD8" s="280">
        <f>+IS!BD9</f>
        <v>125561</v>
      </c>
      <c r="BE8" s="280">
        <f>+IS!BE9</f>
        <v>130849</v>
      </c>
      <c r="BF8" s="530">
        <f>+IS!BF9</f>
        <v>489723</v>
      </c>
      <c r="BG8" s="280">
        <f>+IS!BG9</f>
        <v>130683</v>
      </c>
      <c r="BH8" s="280">
        <f>+IS!BH9</f>
        <v>137209</v>
      </c>
      <c r="BI8" s="280">
        <f>+IS!BI9</f>
        <v>141996</v>
      </c>
      <c r="BJ8" s="280">
        <f>+IS!BJ9</f>
        <v>144570</v>
      </c>
      <c r="BK8" s="530">
        <f>+IS!BK9</f>
        <v>554458</v>
      </c>
      <c r="BL8" s="280">
        <f>+IS!BL9</f>
        <v>145805</v>
      </c>
      <c r="BM8" s="280">
        <f>+IS!BM9</f>
        <v>148708</v>
      </c>
      <c r="BN8" s="280">
        <f>+IS!BN9</f>
        <v>153867</v>
      </c>
      <c r="BO8" s="280">
        <f>+IS!BO9</f>
        <v>159191</v>
      </c>
      <c r="BP8" s="530">
        <f>+IS!BP9</f>
        <v>607571</v>
      </c>
      <c r="BQ8" s="280">
        <f>+IS!BQ9</f>
        <v>159899</v>
      </c>
      <c r="BR8" s="280">
        <f>+IS!BR9</f>
        <v>164062</v>
      </c>
      <c r="BS8" s="280">
        <f>+IS!BS9</f>
        <v>169882</v>
      </c>
      <c r="BT8" s="280">
        <f>+IS!BT9</f>
        <v>175282</v>
      </c>
      <c r="BU8" s="530">
        <f>+IS!BU9</f>
        <v>669125</v>
      </c>
      <c r="BV8" s="280">
        <f>+IS!BV9</f>
        <v>173490.41500000001</v>
      </c>
      <c r="BW8" s="280">
        <f>+IS!BW9</f>
        <v>177186.96000000002</v>
      </c>
      <c r="BX8" s="280">
        <f>+IS!BX9</f>
        <v>182623.15</v>
      </c>
      <c r="BY8" s="280">
        <f>+IS!BY9</f>
        <v>187551.74000000002</v>
      </c>
      <c r="BZ8" s="530">
        <f>+IS!BZ9</f>
        <v>720852.26500000013</v>
      </c>
      <c r="CA8" s="280">
        <f>+IS!CA9</f>
        <v>187369.64820000003</v>
      </c>
      <c r="CB8" s="280">
        <f>+IS!CB9</f>
        <v>189590.04720000003</v>
      </c>
      <c r="CC8" s="280">
        <f>+IS!CC9</f>
        <v>193580.53899999999</v>
      </c>
      <c r="CD8" s="280">
        <f>+IS!CD9</f>
        <v>198804.84440000003</v>
      </c>
      <c r="CE8" s="530">
        <f>+IS!CE9</f>
        <v>769345.07880000013</v>
      </c>
    </row>
    <row r="9" spans="2:83" s="121" customFormat="1" ht="12.75">
      <c r="B9" s="273" t="s">
        <v>293</v>
      </c>
      <c r="C9" s="275"/>
      <c r="D9" s="279">
        <f>48354+5745</f>
        <v>54099</v>
      </c>
      <c r="E9" s="279">
        <f>48999+5510</f>
        <v>54509</v>
      </c>
      <c r="F9" s="279">
        <f>6152+51693</f>
        <v>57845</v>
      </c>
      <c r="G9" s="280">
        <f>+H9</f>
        <v>65113</v>
      </c>
      <c r="H9" s="280">
        <f>+BS!H29+BS!H35</f>
        <v>65113</v>
      </c>
      <c r="I9" s="279">
        <f>58356+7847</f>
        <v>66203</v>
      </c>
      <c r="J9" s="279">
        <f>58835+8823</f>
        <v>67658</v>
      </c>
      <c r="K9" s="279">
        <f>61389+8456</f>
        <v>69845</v>
      </c>
      <c r="L9" s="280">
        <f>+M9</f>
        <v>76394</v>
      </c>
      <c r="M9" s="280">
        <f>+BS!M29+BS!M35</f>
        <v>76394</v>
      </c>
      <c r="N9" s="280">
        <f>+BS!N29+BS!N35</f>
        <v>80318</v>
      </c>
      <c r="O9" s="280">
        <f>+BS!O29+BS!O35</f>
        <v>80634</v>
      </c>
      <c r="P9" s="280">
        <f>+BS!P29+BS!P35</f>
        <v>83302</v>
      </c>
      <c r="Q9" s="280">
        <f>+BS!Q29+BS!Q35</f>
        <v>91211</v>
      </c>
      <c r="R9" s="530">
        <f>+BS!R29+BS!R35</f>
        <v>91211</v>
      </c>
      <c r="S9" s="280">
        <f>+BS!S29+BS!S35</f>
        <v>97993</v>
      </c>
      <c r="T9" s="280">
        <f>+BS!T29+BS!T35</f>
        <v>97122</v>
      </c>
      <c r="U9" s="280">
        <f>+BS!U29+BS!U35</f>
        <v>101823</v>
      </c>
      <c r="V9" s="280">
        <f>+BS!V29+BS!V35</f>
        <v>112589</v>
      </c>
      <c r="W9" s="530">
        <f>+BS!W29+BS!W35</f>
        <v>112589</v>
      </c>
      <c r="X9" s="280">
        <f>+BS!X29+BS!X35</f>
        <v>114649</v>
      </c>
      <c r="Y9" s="280">
        <f>+BS!Y29+BS!Y35</f>
        <v>116826</v>
      </c>
      <c r="Z9" s="280">
        <f>+BS!Z29+BS!Z35</f>
        <v>123442</v>
      </c>
      <c r="AA9" s="280">
        <f>+BS!AA29+BS!AA35</f>
        <v>130492</v>
      </c>
      <c r="AB9" s="530">
        <f>+BS!AB29+BS!AB35</f>
        <v>130492</v>
      </c>
      <c r="AC9" s="280">
        <f>+BS!AC29+BS!AC35</f>
        <v>138505</v>
      </c>
      <c r="AD9" s="280">
        <f>+BS!AD29+BS!AD35</f>
        <v>141439</v>
      </c>
      <c r="AE9" s="280">
        <f>+BS!AE29+BS!AE35</f>
        <v>148208</v>
      </c>
      <c r="AF9" s="280">
        <f>+BS!AF29+BS!AF35</f>
        <v>160322</v>
      </c>
      <c r="AG9" s="530">
        <f>+BS!AG29+BS!AG35</f>
        <v>160322</v>
      </c>
      <c r="AH9" s="280">
        <f>+BS!AH29+BS!AH35</f>
        <v>162651</v>
      </c>
      <c r="AI9" s="280">
        <f>+BS!AI29+BS!AI35</f>
        <v>164746</v>
      </c>
      <c r="AJ9" s="280">
        <f>+BS!AJ29+BS!AJ35</f>
        <v>172673</v>
      </c>
      <c r="AK9" s="280">
        <f>+BS!AK29+BS!AK35</f>
        <v>185047</v>
      </c>
      <c r="AL9" s="530">
        <f>+BS!AL29+BS!AL35</f>
        <v>185047</v>
      </c>
      <c r="AM9" s="280">
        <f>+BS!AM29+BS!AM35</f>
        <v>194902</v>
      </c>
      <c r="AN9" s="280">
        <f>+BS!AN29+BS!AN35</f>
        <v>197444</v>
      </c>
      <c r="AO9" s="280">
        <f>+BS!AO29+BS!AO35</f>
        <v>200460</v>
      </c>
      <c r="AP9" s="280">
        <f>+BS!AP29+BS!AP35</f>
        <v>213107</v>
      </c>
      <c r="AQ9" s="530">
        <f>+BS!AQ29+BS!AQ35</f>
        <v>213107</v>
      </c>
      <c r="AR9" s="280">
        <f>+BS!AR29+BS!AR35</f>
        <v>223684</v>
      </c>
      <c r="AS9" s="280">
        <f>+BS!AS29+BS!AS35</f>
        <v>221555</v>
      </c>
      <c r="AT9" s="622">
        <f>+BS!AT29+BS!AT35</f>
        <v>219440</v>
      </c>
      <c r="AU9" s="280">
        <f>+BS!AU29+BS!AU35</f>
        <v>244034</v>
      </c>
      <c r="AV9" s="530">
        <f>+BS!AV29+BS!AV35</f>
        <v>244034</v>
      </c>
      <c r="AW9" s="280">
        <f>+BS!AW29+BS!AW35</f>
        <v>247908</v>
      </c>
      <c r="AX9" s="280">
        <f>+BS!AX29+BS!AX35</f>
        <v>256861</v>
      </c>
      <c r="AY9" s="280">
        <f>+BS!AY29+BS!AY35</f>
        <v>265067</v>
      </c>
      <c r="AZ9" s="280">
        <f>+BS!AZ29+BS!AZ35</f>
        <v>290625</v>
      </c>
      <c r="BA9" s="530">
        <f>+BS!BA29+BS!BA35</f>
        <v>290625</v>
      </c>
      <c r="BB9" s="280">
        <f>+BS!BB29+BS!BB35</f>
        <v>298051</v>
      </c>
      <c r="BC9" s="280">
        <f>+BS!BC29+BS!BC35</f>
        <v>304083</v>
      </c>
      <c r="BD9" s="280">
        <f>+BS!BD29+BS!BD35</f>
        <v>303129</v>
      </c>
      <c r="BE9" s="280">
        <f>+BS!BE29+BS!BE35</f>
        <v>317218</v>
      </c>
      <c r="BF9" s="530">
        <f>+BS!BF29+BS!BF35</f>
        <v>317218</v>
      </c>
      <c r="BG9" s="280">
        <f>+BS!BG29+BS!BG35</f>
        <v>318447</v>
      </c>
      <c r="BH9" s="280">
        <f>+BS!BH29+BS!BH35</f>
        <v>337220</v>
      </c>
      <c r="BI9" s="280">
        <f>+BS!BI29+BS!BI35</f>
        <v>339466</v>
      </c>
      <c r="BJ9" s="280">
        <f>+BS!BJ29+BS!BJ35</f>
        <v>364938</v>
      </c>
      <c r="BK9" s="530">
        <f>+BS!BK29+BS!BK35</f>
        <v>364938</v>
      </c>
      <c r="BL9" s="280">
        <f>+BS!BL29+BS!BL35</f>
        <v>363439</v>
      </c>
      <c r="BM9" s="280">
        <f>+BS!BM29+BS!BM35</f>
        <v>353146</v>
      </c>
      <c r="BN9" s="280">
        <f>+BS!BN29+BS!BN35</f>
        <v>360937</v>
      </c>
      <c r="BO9" s="280">
        <f>+BS!BO29+BS!BO35</f>
        <v>395722</v>
      </c>
      <c r="BP9" s="530">
        <f>+BS!BP29+BS!BP35</f>
        <v>395722</v>
      </c>
      <c r="BQ9" s="280">
        <f>+BS!BQ29+BS!BQ35</f>
        <v>388897</v>
      </c>
      <c r="BR9" s="280">
        <f>+BS!BR29+BS!BR35</f>
        <v>374200</v>
      </c>
      <c r="BS9" s="280">
        <f>+BS!BS29+BS!BS35</f>
        <v>387812</v>
      </c>
      <c r="BT9" s="280">
        <f>+BS!BT29+BS!BT35</f>
        <v>417412</v>
      </c>
      <c r="BU9" s="530">
        <f>+BS!BU29+BS!BU35</f>
        <v>417412</v>
      </c>
      <c r="BV9" s="280">
        <f>+BS!BV29+BS!BV35</f>
        <v>412617.77</v>
      </c>
      <c r="BW9" s="280">
        <f>+BS!BW29+BS!BW35</f>
        <v>399981.00850000005</v>
      </c>
      <c r="BX9" s="280">
        <f>+BS!BX29+BS!BX35</f>
        <v>417972.531785</v>
      </c>
      <c r="BY9" s="280">
        <f>+BS!BY29+BS!BY35</f>
        <v>448157.76130284998</v>
      </c>
      <c r="BZ9" s="530">
        <f>+BS!BZ29+BS!BZ35</f>
        <v>448157.76130284998</v>
      </c>
      <c r="CA9" s="280">
        <f>+BS!CA29+BS!CA35</f>
        <v>440678.58833982161</v>
      </c>
      <c r="CB9" s="280">
        <f>+BS!CB29+BS!CB35</f>
        <v>427149.02927921974</v>
      </c>
      <c r="CC9" s="280">
        <f>+BS!CC29+BS!CC35</f>
        <v>446391.652696012</v>
      </c>
      <c r="CD9" s="280">
        <f>+BS!CD29+BS!CD35</f>
        <v>478681.45871697203</v>
      </c>
      <c r="CE9" s="530">
        <f>+BS!CE29+BS!CE35</f>
        <v>478681.45871697203</v>
      </c>
    </row>
    <row r="10" spans="2:83" s="121" customFormat="1" ht="12.75">
      <c r="B10" s="273" t="s">
        <v>294</v>
      </c>
      <c r="C10" s="275"/>
      <c r="D10" s="279">
        <f>46717+4713</f>
        <v>51430</v>
      </c>
      <c r="E10" s="280">
        <f>+D9</f>
        <v>54099</v>
      </c>
      <c r="F10" s="280">
        <f>+E9</f>
        <v>54509</v>
      </c>
      <c r="G10" s="280">
        <f>+F9</f>
        <v>57845</v>
      </c>
      <c r="H10" s="279">
        <f>46717+4713</f>
        <v>51430</v>
      </c>
      <c r="I10" s="280">
        <f>+G9</f>
        <v>65113</v>
      </c>
      <c r="J10" s="280">
        <f>+I9</f>
        <v>66203</v>
      </c>
      <c r="K10" s="280">
        <f>+J9</f>
        <v>67658</v>
      </c>
      <c r="L10" s="280">
        <f>+K9</f>
        <v>69845</v>
      </c>
      <c r="M10" s="280">
        <f>+H9</f>
        <v>65113</v>
      </c>
      <c r="N10" s="280">
        <f>+L9</f>
        <v>76394</v>
      </c>
      <c r="O10" s="280">
        <f>+N9</f>
        <v>80318</v>
      </c>
      <c r="P10" s="280">
        <f>+O9</f>
        <v>80634</v>
      </c>
      <c r="Q10" s="280">
        <f>+P9</f>
        <v>83302</v>
      </c>
      <c r="R10" s="530">
        <f>+M9</f>
        <v>76394</v>
      </c>
      <c r="S10" s="280">
        <f>+Q9</f>
        <v>91211</v>
      </c>
      <c r="T10" s="280">
        <f>+S9</f>
        <v>97993</v>
      </c>
      <c r="U10" s="280">
        <f>+T9</f>
        <v>97122</v>
      </c>
      <c r="V10" s="280">
        <f>+U9</f>
        <v>101823</v>
      </c>
      <c r="W10" s="530">
        <f>+R9</f>
        <v>91211</v>
      </c>
      <c r="X10" s="280">
        <f>+V9</f>
        <v>112589</v>
      </c>
      <c r="Y10" s="280">
        <f>+X9</f>
        <v>114649</v>
      </c>
      <c r="Z10" s="280">
        <f>+Y9</f>
        <v>116826</v>
      </c>
      <c r="AA10" s="280">
        <f>+Z9</f>
        <v>123442</v>
      </c>
      <c r="AB10" s="530">
        <f>+W9</f>
        <v>112589</v>
      </c>
      <c r="AC10" s="280">
        <f>+AA9</f>
        <v>130492</v>
      </c>
      <c r="AD10" s="280">
        <f>+AC9</f>
        <v>138505</v>
      </c>
      <c r="AE10" s="280">
        <f>+AD9</f>
        <v>141439</v>
      </c>
      <c r="AF10" s="280">
        <f>+AE9</f>
        <v>148208</v>
      </c>
      <c r="AG10" s="530">
        <f>+AB9</f>
        <v>130492</v>
      </c>
      <c r="AH10" s="280">
        <f>+AF9</f>
        <v>160322</v>
      </c>
      <c r="AI10" s="280">
        <f>+AH9</f>
        <v>162651</v>
      </c>
      <c r="AJ10" s="280">
        <f>+AI9</f>
        <v>164746</v>
      </c>
      <c r="AK10" s="280">
        <f>+AJ9</f>
        <v>172673</v>
      </c>
      <c r="AL10" s="530">
        <f>+AG9</f>
        <v>160322</v>
      </c>
      <c r="AM10" s="280">
        <f>+AK9</f>
        <v>185047</v>
      </c>
      <c r="AN10" s="280">
        <f>+AM9</f>
        <v>194902</v>
      </c>
      <c r="AO10" s="534">
        <f>+AN9</f>
        <v>197444</v>
      </c>
      <c r="AP10" s="280">
        <f>+AO9</f>
        <v>200460</v>
      </c>
      <c r="AQ10" s="530">
        <f>+AL9</f>
        <v>185047</v>
      </c>
      <c r="AR10" s="280">
        <f>+AP9</f>
        <v>213107</v>
      </c>
      <c r="AS10" s="280">
        <f>+AR9</f>
        <v>223684</v>
      </c>
      <c r="AT10" s="280">
        <f>+AS9</f>
        <v>221555</v>
      </c>
      <c r="AU10" s="280">
        <f>+AT9</f>
        <v>219440</v>
      </c>
      <c r="AV10" s="530">
        <f>+AQ9</f>
        <v>213107</v>
      </c>
      <c r="AW10" s="280">
        <f>+AU9</f>
        <v>244034</v>
      </c>
      <c r="AX10" s="280">
        <f>+AW9</f>
        <v>247908</v>
      </c>
      <c r="AY10" s="280">
        <f>+AX9</f>
        <v>256861</v>
      </c>
      <c r="AZ10" s="280">
        <f>+AY9</f>
        <v>265067</v>
      </c>
      <c r="BA10" s="530">
        <f>+AV9</f>
        <v>244034</v>
      </c>
      <c r="BB10" s="280">
        <f>+AZ9</f>
        <v>290625</v>
      </c>
      <c r="BC10" s="280">
        <f>+BB9</f>
        <v>298051</v>
      </c>
      <c r="BD10" s="280">
        <f>+BC9</f>
        <v>304083</v>
      </c>
      <c r="BE10" s="280">
        <f>+BD9</f>
        <v>303129</v>
      </c>
      <c r="BF10" s="530">
        <f>+BA9</f>
        <v>290625</v>
      </c>
      <c r="BG10" s="280">
        <f>+BE9</f>
        <v>317218</v>
      </c>
      <c r="BH10" s="280">
        <f>+BG9</f>
        <v>318447</v>
      </c>
      <c r="BI10" s="280">
        <f>+BH9</f>
        <v>337220</v>
      </c>
      <c r="BJ10" s="280">
        <f>+BI9</f>
        <v>339466</v>
      </c>
      <c r="BK10" s="530">
        <f>+BF9</f>
        <v>317218</v>
      </c>
      <c r="BL10" s="280">
        <f>+BJ9</f>
        <v>364938</v>
      </c>
      <c r="BM10" s="280">
        <f>+BL9</f>
        <v>363439</v>
      </c>
      <c r="BN10" s="280">
        <f>+BM9</f>
        <v>353146</v>
      </c>
      <c r="BO10" s="280">
        <f>+BN9</f>
        <v>360937</v>
      </c>
      <c r="BP10" s="530">
        <f>+BK9</f>
        <v>364938</v>
      </c>
      <c r="BQ10" s="280">
        <f>+BO9</f>
        <v>395722</v>
      </c>
      <c r="BR10" s="280">
        <f>+BQ9</f>
        <v>388897</v>
      </c>
      <c r="BS10" s="280">
        <f>+BR9</f>
        <v>374200</v>
      </c>
      <c r="BT10" s="280">
        <f>+BS9</f>
        <v>387812</v>
      </c>
      <c r="BU10" s="530">
        <f>+BP9</f>
        <v>395722</v>
      </c>
      <c r="BV10" s="280">
        <f>+BT9</f>
        <v>417412</v>
      </c>
      <c r="BW10" s="280">
        <f>+BV9</f>
        <v>412617.77</v>
      </c>
      <c r="BX10" s="280">
        <f>+BW9</f>
        <v>399981.00850000005</v>
      </c>
      <c r="BY10" s="280">
        <f>+BX9</f>
        <v>417972.531785</v>
      </c>
      <c r="BZ10" s="530">
        <f>+BU9</f>
        <v>417412</v>
      </c>
      <c r="CA10" s="280">
        <f>+BY9</f>
        <v>448157.76130284998</v>
      </c>
      <c r="CB10" s="280">
        <f>+CA9</f>
        <v>440678.58833982161</v>
      </c>
      <c r="CC10" s="280">
        <f>+CB9</f>
        <v>427149.02927921974</v>
      </c>
      <c r="CD10" s="280">
        <f>+CC9</f>
        <v>446391.652696012</v>
      </c>
      <c r="CE10" s="530">
        <f>+BZ9</f>
        <v>448157.76130284998</v>
      </c>
    </row>
    <row r="11" spans="2:83" s="121" customFormat="1" ht="8.25" customHeight="1">
      <c r="B11" s="273"/>
      <c r="C11" s="275"/>
      <c r="D11" s="288" t="s">
        <v>0</v>
      </c>
      <c r="E11" s="288" t="s">
        <v>0</v>
      </c>
      <c r="F11" s="288" t="s">
        <v>0</v>
      </c>
      <c r="G11" s="288" t="s">
        <v>0</v>
      </c>
      <c r="H11" s="288" t="s">
        <v>0</v>
      </c>
      <c r="I11" s="288" t="s">
        <v>0</v>
      </c>
      <c r="J11" s="288" t="s">
        <v>0</v>
      </c>
      <c r="K11" s="288" t="s">
        <v>0</v>
      </c>
      <c r="L11" s="288" t="s">
        <v>0</v>
      </c>
      <c r="M11" s="288" t="s">
        <v>0</v>
      </c>
      <c r="N11" s="288" t="s">
        <v>0</v>
      </c>
      <c r="O11" s="288" t="s">
        <v>0</v>
      </c>
      <c r="P11" s="288" t="s">
        <v>0</v>
      </c>
      <c r="Q11" s="288" t="s">
        <v>0</v>
      </c>
      <c r="R11" s="531" t="s">
        <v>0</v>
      </c>
      <c r="S11" s="288" t="s">
        <v>0</v>
      </c>
      <c r="T11" s="288" t="s">
        <v>0</v>
      </c>
      <c r="U11" s="288" t="s">
        <v>0</v>
      </c>
      <c r="V11" s="288" t="s">
        <v>0</v>
      </c>
      <c r="W11" s="531" t="s">
        <v>0</v>
      </c>
      <c r="X11" s="288" t="s">
        <v>0</v>
      </c>
      <c r="Y11" s="288" t="s">
        <v>0</v>
      </c>
      <c r="Z11" s="288" t="s">
        <v>0</v>
      </c>
      <c r="AA11" s="288" t="s">
        <v>0</v>
      </c>
      <c r="AB11" s="531" t="s">
        <v>0</v>
      </c>
      <c r="AC11" s="288" t="s">
        <v>0</v>
      </c>
      <c r="AD11" s="288" t="s">
        <v>0</v>
      </c>
      <c r="AE11" s="288" t="s">
        <v>0</v>
      </c>
      <c r="AF11" s="288" t="s">
        <v>0</v>
      </c>
      <c r="AG11" s="531" t="s">
        <v>0</v>
      </c>
      <c r="AH11" s="288" t="s">
        <v>0</v>
      </c>
      <c r="AI11" s="288" t="s">
        <v>0</v>
      </c>
      <c r="AJ11" s="288" t="s">
        <v>0</v>
      </c>
      <c r="AK11" s="288" t="s">
        <v>0</v>
      </c>
      <c r="AL11" s="531" t="s">
        <v>0</v>
      </c>
      <c r="AM11" s="288" t="s">
        <v>0</v>
      </c>
      <c r="AN11" s="288" t="s">
        <v>0</v>
      </c>
      <c r="AO11" s="535" t="s">
        <v>0</v>
      </c>
      <c r="AP11" s="288" t="s">
        <v>0</v>
      </c>
      <c r="AQ11" s="531" t="s">
        <v>0</v>
      </c>
      <c r="AR11" s="288" t="s">
        <v>0</v>
      </c>
      <c r="AS11" s="288" t="s">
        <v>0</v>
      </c>
      <c r="AT11" s="288" t="s">
        <v>0</v>
      </c>
      <c r="AU11" s="288" t="s">
        <v>0</v>
      </c>
      <c r="AV11" s="531" t="s">
        <v>0</v>
      </c>
      <c r="AW11" s="288" t="s">
        <v>0</v>
      </c>
      <c r="AX11" s="288" t="s">
        <v>0</v>
      </c>
      <c r="AY11" s="288" t="s">
        <v>0</v>
      </c>
      <c r="AZ11" s="288" t="s">
        <v>0</v>
      </c>
      <c r="BA11" s="531" t="s">
        <v>0</v>
      </c>
      <c r="BB11" s="288" t="s">
        <v>0</v>
      </c>
      <c r="BC11" s="288" t="s">
        <v>0</v>
      </c>
      <c r="BD11" s="288" t="s">
        <v>0</v>
      </c>
      <c r="BE11" s="288" t="s">
        <v>0</v>
      </c>
      <c r="BF11" s="531" t="s">
        <v>0</v>
      </c>
      <c r="BG11" s="288" t="s">
        <v>0</v>
      </c>
      <c r="BH11" s="288" t="s">
        <v>0</v>
      </c>
      <c r="BI11" s="288" t="s">
        <v>0</v>
      </c>
      <c r="BJ11" s="288" t="s">
        <v>0</v>
      </c>
      <c r="BK11" s="531" t="s">
        <v>0</v>
      </c>
      <c r="BL11" s="288" t="s">
        <v>0</v>
      </c>
      <c r="BM11" s="288" t="s">
        <v>0</v>
      </c>
      <c r="BN11" s="288" t="s">
        <v>0</v>
      </c>
      <c r="BO11" s="288" t="s">
        <v>0</v>
      </c>
      <c r="BP11" s="531" t="s">
        <v>0</v>
      </c>
      <c r="BQ11" s="288" t="s">
        <v>0</v>
      </c>
      <c r="BR11" s="288" t="s">
        <v>0</v>
      </c>
      <c r="BS11" s="288" t="s">
        <v>0</v>
      </c>
      <c r="BT11" s="288" t="s">
        <v>0</v>
      </c>
      <c r="BU11" s="531" t="s">
        <v>0</v>
      </c>
      <c r="BV11" s="288" t="s">
        <v>0</v>
      </c>
      <c r="BW11" s="288" t="s">
        <v>0</v>
      </c>
      <c r="BX11" s="288" t="s">
        <v>0</v>
      </c>
      <c r="BY11" s="288" t="s">
        <v>0</v>
      </c>
      <c r="BZ11" s="531" t="s">
        <v>0</v>
      </c>
      <c r="CA11" s="288" t="s">
        <v>0</v>
      </c>
      <c r="CB11" s="288" t="s">
        <v>0</v>
      </c>
      <c r="CC11" s="288" t="s">
        <v>0</v>
      </c>
      <c r="CD11" s="288" t="s">
        <v>0</v>
      </c>
      <c r="CE11" s="531" t="s">
        <v>0</v>
      </c>
    </row>
    <row r="12" spans="2:83" s="124" customFormat="1" ht="13.15">
      <c r="B12" s="274" t="s">
        <v>348</v>
      </c>
      <c r="C12" s="289"/>
      <c r="D12" s="280">
        <f>+D8+D9-D10</f>
        <v>23860</v>
      </c>
      <c r="E12" s="280">
        <f t="shared" ref="E12:H12" si="0">+E8+E9-E10</f>
        <v>22600</v>
      </c>
      <c r="F12" s="280">
        <f t="shared" si="0"/>
        <v>26718</v>
      </c>
      <c r="G12" s="280">
        <f t="shared" si="0"/>
        <v>31925</v>
      </c>
      <c r="H12" s="280">
        <f t="shared" si="0"/>
        <v>105103</v>
      </c>
      <c r="I12" s="280">
        <f>+I8+I9-I10</f>
        <v>25973</v>
      </c>
      <c r="J12" s="280">
        <f t="shared" ref="J12:M12" si="1">+J8+J9-J10</f>
        <v>27746</v>
      </c>
      <c r="K12" s="280">
        <f t="shared" si="1"/>
        <v>29936</v>
      </c>
      <c r="L12" s="280">
        <f t="shared" si="1"/>
        <v>35588.000000000015</v>
      </c>
      <c r="M12" s="280">
        <f t="shared" si="1"/>
        <v>119243</v>
      </c>
      <c r="N12" s="280">
        <f>+N8+N9-N10</f>
        <v>34280</v>
      </c>
      <c r="O12" s="280">
        <f t="shared" ref="O12:AL12" si="2">+O8+O9-O10</f>
        <v>32618</v>
      </c>
      <c r="P12" s="280">
        <f t="shared" si="2"/>
        <v>37016</v>
      </c>
      <c r="Q12" s="280">
        <f t="shared" si="2"/>
        <v>44482</v>
      </c>
      <c r="R12" s="530">
        <f t="shared" si="2"/>
        <v>148396</v>
      </c>
      <c r="S12" s="280">
        <f t="shared" si="2"/>
        <v>44275</v>
      </c>
      <c r="T12" s="280">
        <f t="shared" si="2"/>
        <v>39006</v>
      </c>
      <c r="U12" s="280">
        <f t="shared" si="2"/>
        <v>47170</v>
      </c>
      <c r="V12" s="280">
        <f t="shared" si="2"/>
        <v>55211</v>
      </c>
      <c r="W12" s="530">
        <f t="shared" si="2"/>
        <v>185662</v>
      </c>
      <c r="X12" s="280">
        <f t="shared" si="2"/>
        <v>48308</v>
      </c>
      <c r="Y12" s="280">
        <f t="shared" si="2"/>
        <v>50643</v>
      </c>
      <c r="Z12" s="280">
        <f t="shared" si="2"/>
        <v>57603</v>
      </c>
      <c r="AA12" s="280">
        <f t="shared" si="2"/>
        <v>59274</v>
      </c>
      <c r="AB12" s="530">
        <f t="shared" si="2"/>
        <v>215828</v>
      </c>
      <c r="AC12" s="280">
        <f t="shared" si="2"/>
        <v>61134</v>
      </c>
      <c r="AD12" s="280">
        <f t="shared" si="2"/>
        <v>58236</v>
      </c>
      <c r="AE12" s="280">
        <f t="shared" si="2"/>
        <v>66259</v>
      </c>
      <c r="AF12" s="280">
        <f t="shared" si="2"/>
        <v>75029</v>
      </c>
      <c r="AG12" s="530">
        <f t="shared" si="2"/>
        <v>260658</v>
      </c>
      <c r="AH12" s="280">
        <f t="shared" si="2"/>
        <v>67207</v>
      </c>
      <c r="AI12" s="280">
        <f t="shared" si="2"/>
        <v>70248</v>
      </c>
      <c r="AJ12" s="280">
        <f t="shared" si="2"/>
        <v>79585</v>
      </c>
      <c r="AK12" s="280">
        <f t="shared" si="2"/>
        <v>86574</v>
      </c>
      <c r="AL12" s="530">
        <f t="shared" si="2"/>
        <v>303614</v>
      </c>
      <c r="AM12" s="280">
        <f t="shared" ref="AM12:AQ12" si="3">+AM8+AM9-AM10</f>
        <v>85198</v>
      </c>
      <c r="AN12" s="280">
        <f t="shared" si="3"/>
        <v>81471</v>
      </c>
      <c r="AO12" s="534">
        <f t="shared" si="3"/>
        <v>85687</v>
      </c>
      <c r="AP12" s="280">
        <f t="shared" si="3"/>
        <v>97311</v>
      </c>
      <c r="AQ12" s="530">
        <f t="shared" si="3"/>
        <v>349667</v>
      </c>
      <c r="AR12" s="280">
        <f t="shared" ref="AR12:AV12" si="4">+AR8+AR9-AR10</f>
        <v>96840</v>
      </c>
      <c r="AS12" s="280">
        <f t="shared" si="4"/>
        <v>86701</v>
      </c>
      <c r="AT12" s="280">
        <f t="shared" si="4"/>
        <v>90954</v>
      </c>
      <c r="AU12" s="280">
        <f t="shared" si="4"/>
        <v>119395</v>
      </c>
      <c r="AV12" s="530">
        <f t="shared" si="4"/>
        <v>393890</v>
      </c>
      <c r="AW12" s="280">
        <f t="shared" ref="AW12:BA12" si="5">+AW8+AW9-AW10</f>
        <v>100630</v>
      </c>
      <c r="AX12" s="280">
        <f t="shared" si="5"/>
        <v>108655</v>
      </c>
      <c r="AY12" s="280">
        <f t="shared" si="5"/>
        <v>113140</v>
      </c>
      <c r="AZ12" s="280">
        <f t="shared" si="5"/>
        <v>135338</v>
      </c>
      <c r="BA12" s="530">
        <f t="shared" si="5"/>
        <v>457763</v>
      </c>
      <c r="BB12" s="280">
        <f t="shared" ref="BB12:BF12" si="6">+BB8+BB9-BB10</f>
        <v>120846</v>
      </c>
      <c r="BC12" s="280">
        <f t="shared" si="6"/>
        <v>125925</v>
      </c>
      <c r="BD12" s="280">
        <f t="shared" si="6"/>
        <v>124607</v>
      </c>
      <c r="BE12" s="280">
        <f t="shared" si="6"/>
        <v>144938</v>
      </c>
      <c r="BF12" s="530">
        <f t="shared" si="6"/>
        <v>516316</v>
      </c>
      <c r="BG12" s="280">
        <f t="shared" ref="BG12:BK12" si="7">+BG8+BG9-BG10</f>
        <v>131912</v>
      </c>
      <c r="BH12" s="280">
        <f t="shared" si="7"/>
        <v>155982</v>
      </c>
      <c r="BI12" s="280">
        <f t="shared" si="7"/>
        <v>144242</v>
      </c>
      <c r="BJ12" s="280">
        <f t="shared" si="7"/>
        <v>170042</v>
      </c>
      <c r="BK12" s="530">
        <f t="shared" si="7"/>
        <v>602178</v>
      </c>
      <c r="BL12" s="280">
        <f t="shared" ref="BL12:BP12" si="8">+BL8+BL9-BL10</f>
        <v>144306</v>
      </c>
      <c r="BM12" s="280">
        <f t="shared" si="8"/>
        <v>138415</v>
      </c>
      <c r="BN12" s="280">
        <f t="shared" si="8"/>
        <v>161658</v>
      </c>
      <c r="BO12" s="280">
        <f t="shared" si="8"/>
        <v>193976</v>
      </c>
      <c r="BP12" s="530">
        <f t="shared" si="8"/>
        <v>638355</v>
      </c>
      <c r="BQ12" s="280">
        <f t="shared" ref="BQ12:BU12" si="9">+BQ8+BQ9-BQ10</f>
        <v>153074</v>
      </c>
      <c r="BR12" s="280">
        <f t="shared" si="9"/>
        <v>149365</v>
      </c>
      <c r="BS12" s="280">
        <f t="shared" si="9"/>
        <v>183494</v>
      </c>
      <c r="BT12" s="280">
        <f t="shared" si="9"/>
        <v>204882</v>
      </c>
      <c r="BU12" s="530">
        <f t="shared" si="9"/>
        <v>690815</v>
      </c>
      <c r="BV12" s="280">
        <f t="shared" ref="BV12:BZ12" si="10">+BV8+BV9-BV10</f>
        <v>168696.18500000006</v>
      </c>
      <c r="BW12" s="280">
        <f t="shared" si="10"/>
        <v>164550.19850000006</v>
      </c>
      <c r="BX12" s="280">
        <f t="shared" si="10"/>
        <v>200614.67328499997</v>
      </c>
      <c r="BY12" s="280">
        <f t="shared" si="10"/>
        <v>217736.96951784997</v>
      </c>
      <c r="BZ12" s="530">
        <f t="shared" si="10"/>
        <v>751598.02630285011</v>
      </c>
      <c r="CA12" s="280">
        <f t="shared" ref="CA12:CE12" si="11">+CA8+CA9-CA10</f>
        <v>179890.47523697163</v>
      </c>
      <c r="CB12" s="280">
        <f t="shared" si="11"/>
        <v>176060.48813939822</v>
      </c>
      <c r="CC12" s="280">
        <f t="shared" si="11"/>
        <v>212823.16241679218</v>
      </c>
      <c r="CD12" s="280">
        <f t="shared" si="11"/>
        <v>231094.6504209601</v>
      </c>
      <c r="CE12" s="530">
        <f t="shared" si="11"/>
        <v>799868.77621412207</v>
      </c>
    </row>
    <row r="13" spans="2:83" s="124" customFormat="1" ht="13.15" hidden="1" outlineLevel="1">
      <c r="B13" s="335"/>
      <c r="C13" s="289"/>
      <c r="D13" s="309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09"/>
      <c r="Q13" s="309"/>
      <c r="R13" s="532"/>
      <c r="S13" s="309"/>
      <c r="T13" s="309"/>
      <c r="U13" s="309"/>
      <c r="V13" s="309"/>
      <c r="W13" s="532"/>
      <c r="X13" s="309"/>
      <c r="Y13" s="309"/>
      <c r="Z13" s="309"/>
      <c r="AA13" s="309"/>
      <c r="AB13" s="532"/>
      <c r="AC13" s="309"/>
      <c r="AD13" s="336"/>
      <c r="AE13" s="327"/>
      <c r="AF13" s="309"/>
      <c r="AG13" s="532"/>
      <c r="AH13" s="309"/>
      <c r="AI13" s="309"/>
      <c r="AJ13" s="309"/>
      <c r="AK13" s="309"/>
      <c r="AL13" s="532"/>
      <c r="AM13" s="309"/>
      <c r="AN13" s="309"/>
      <c r="AO13" s="536"/>
      <c r="AP13" s="309"/>
      <c r="AQ13" s="532"/>
      <c r="AR13" s="309"/>
      <c r="AS13" s="309"/>
      <c r="AT13" s="309"/>
      <c r="AU13" s="309"/>
      <c r="AV13" s="532"/>
      <c r="AW13" s="309"/>
      <c r="AX13" s="309"/>
      <c r="AY13" s="309"/>
      <c r="AZ13" s="309"/>
      <c r="BA13" s="532"/>
      <c r="BB13" s="309"/>
      <c r="BC13" s="309"/>
      <c r="BD13" s="309"/>
      <c r="BE13" s="309"/>
      <c r="BF13" s="532"/>
      <c r="BG13" s="309"/>
      <c r="BH13" s="309"/>
      <c r="BI13" s="309"/>
      <c r="BJ13" s="309"/>
      <c r="BK13" s="532"/>
      <c r="BL13" s="309"/>
      <c r="BM13" s="309"/>
      <c r="BN13" s="309"/>
      <c r="BO13" s="309"/>
      <c r="BP13" s="532"/>
      <c r="BQ13" s="309"/>
      <c r="BR13" s="309"/>
      <c r="BS13" s="309"/>
      <c r="BT13" s="309"/>
      <c r="BU13" s="532"/>
      <c r="BV13" s="309"/>
      <c r="BW13" s="309"/>
      <c r="BX13" s="309"/>
      <c r="BY13" s="309"/>
      <c r="BZ13" s="532"/>
      <c r="CA13" s="309"/>
      <c r="CB13" s="309"/>
      <c r="CC13" s="309"/>
      <c r="CD13" s="309"/>
      <c r="CE13" s="532"/>
    </row>
    <row r="14" spans="2:83" s="121" customFormat="1" ht="12.75" collapsed="1">
      <c r="B14" s="273" t="s">
        <v>128</v>
      </c>
      <c r="C14" s="275"/>
      <c r="D14" s="276"/>
      <c r="E14" s="276"/>
      <c r="F14" s="276"/>
      <c r="G14" s="276"/>
      <c r="H14" s="276"/>
      <c r="I14" s="283">
        <f t="shared" ref="I14" si="12">+I12/D12-1</f>
        <v>8.8558256496227949E-2</v>
      </c>
      <c r="J14" s="283">
        <f t="shared" ref="J14" si="13">+J12/E12-1</f>
        <v>0.22769911504424778</v>
      </c>
      <c r="K14" s="283">
        <f t="shared" ref="K14" si="14">+K12/F12-1</f>
        <v>0.12044314694213631</v>
      </c>
      <c r="L14" s="283">
        <f t="shared" ref="L14" si="15">+L12/G12-1</f>
        <v>0.11473766640563876</v>
      </c>
      <c r="M14" s="283">
        <f t="shared" ref="M14" si="16">+M12/H12-1</f>
        <v>0.13453469453773925</v>
      </c>
      <c r="N14" s="283">
        <f t="shared" ref="N14" si="17">+N12/I12-1</f>
        <v>0.31983213336926819</v>
      </c>
      <c r="O14" s="283">
        <f t="shared" ref="O14" si="18">+O12/J12-1</f>
        <v>0.17559287825272119</v>
      </c>
      <c r="P14" s="283">
        <f t="shared" ref="P14" si="19">+P12/K12-1</f>
        <v>0.23650454302512025</v>
      </c>
      <c r="Q14" s="283">
        <f t="shared" ref="Q14" si="20">+Q12/L12-1</f>
        <v>0.24991570192199575</v>
      </c>
      <c r="R14" s="533">
        <f t="shared" ref="R14" si="21">+R12/M12-1</f>
        <v>0.24448395293644065</v>
      </c>
      <c r="S14" s="283">
        <f>+S12/N12-1</f>
        <v>0.29156942823803966</v>
      </c>
      <c r="T14" s="283">
        <f t="shared" ref="T14:AL14" si="22">+T12/O12-1</f>
        <v>0.19584278619167339</v>
      </c>
      <c r="U14" s="283">
        <f t="shared" si="22"/>
        <v>0.27431381024421864</v>
      </c>
      <c r="V14" s="283">
        <f t="shared" si="22"/>
        <v>0.24119868710939252</v>
      </c>
      <c r="W14" s="533">
        <f t="shared" si="22"/>
        <v>0.25112536726057311</v>
      </c>
      <c r="X14" s="283">
        <f t="shared" si="22"/>
        <v>9.1089779785431979E-2</v>
      </c>
      <c r="Y14" s="283">
        <f t="shared" si="22"/>
        <v>0.29833871712044302</v>
      </c>
      <c r="Z14" s="283">
        <f t="shared" si="22"/>
        <v>0.22117871528513877</v>
      </c>
      <c r="AA14" s="283">
        <f t="shared" si="22"/>
        <v>7.3590407708608696E-2</v>
      </c>
      <c r="AB14" s="533">
        <f t="shared" si="22"/>
        <v>0.16247805151296446</v>
      </c>
      <c r="AC14" s="283">
        <f t="shared" si="22"/>
        <v>0.26550467831415081</v>
      </c>
      <c r="AD14" s="283">
        <f t="shared" si="22"/>
        <v>0.14993187607369229</v>
      </c>
      <c r="AE14" s="283">
        <f t="shared" si="22"/>
        <v>0.1502699512178185</v>
      </c>
      <c r="AF14" s="283">
        <f t="shared" si="22"/>
        <v>0.26579950737254099</v>
      </c>
      <c r="AG14" s="533">
        <f t="shared" si="22"/>
        <v>0.20771169635079789</v>
      </c>
      <c r="AH14" s="283">
        <f t="shared" si="22"/>
        <v>9.9339156606798262E-2</v>
      </c>
      <c r="AI14" s="283">
        <f t="shared" si="22"/>
        <v>0.20626416649495161</v>
      </c>
      <c r="AJ14" s="283">
        <f t="shared" si="22"/>
        <v>0.20111984786972337</v>
      </c>
      <c r="AK14" s="283">
        <f t="shared" si="22"/>
        <v>0.15387383545029265</v>
      </c>
      <c r="AL14" s="533">
        <f t="shared" si="22"/>
        <v>0.164798318102648</v>
      </c>
      <c r="AM14" s="283">
        <f t="shared" ref="AM14" si="23">+AM12/AH12-1</f>
        <v>0.26769532935557305</v>
      </c>
      <c r="AN14" s="283">
        <f t="shared" ref="AN14" si="24">+AN12/AI12-1</f>
        <v>0.15976255551759477</v>
      </c>
      <c r="AO14" s="537">
        <f t="shared" ref="AO14" si="25">+AO12/AJ12-1</f>
        <v>7.6672739837909232E-2</v>
      </c>
      <c r="AP14" s="283">
        <f t="shared" ref="AP14" si="26">+AP12/AK12-1</f>
        <v>0.12402106868112828</v>
      </c>
      <c r="AQ14" s="533">
        <f t="shared" ref="AQ14" si="27">+AQ12/AL12-1</f>
        <v>0.15168272872792432</v>
      </c>
      <c r="AR14" s="283">
        <f t="shared" ref="AR14" si="28">+AR12/AM12-1</f>
        <v>0.13664640015023832</v>
      </c>
      <c r="AS14" s="283">
        <f t="shared" ref="AS14" si="29">+AS12/AN12-1</f>
        <v>6.4194621399025431E-2</v>
      </c>
      <c r="AT14" s="283">
        <f t="shared" ref="AT14" si="30">+AT12/AO12-1</f>
        <v>6.1467900615029158E-2</v>
      </c>
      <c r="AU14" s="283">
        <f t="shared" ref="AU14" si="31">+AU12/AP12-1</f>
        <v>0.22694248337803535</v>
      </c>
      <c r="AV14" s="533">
        <f t="shared" ref="AV14" si="32">+AV12/AQ12-1</f>
        <v>0.1264717574149119</v>
      </c>
      <c r="AW14" s="283">
        <f t="shared" ref="AW14" si="33">+AW12/AR12-1</f>
        <v>3.9136720363486255E-2</v>
      </c>
      <c r="AX14" s="283">
        <f t="shared" ref="AX14" si="34">+AX12/AS12-1</f>
        <v>0.25321507249051334</v>
      </c>
      <c r="AY14" s="283">
        <f t="shared" ref="AY14" si="35">+AY12/AT12-1</f>
        <v>0.24392550080260356</v>
      </c>
      <c r="AZ14" s="283">
        <f t="shared" ref="AZ14" si="36">+AZ12/AU12-1</f>
        <v>0.13353155492273538</v>
      </c>
      <c r="BA14" s="533">
        <f t="shared" ref="BA14" si="37">+BA12/AV12-1</f>
        <v>0.16215948615095588</v>
      </c>
      <c r="BB14" s="283">
        <f t="shared" ref="BB14" si="38">+BB12/AW12-1</f>
        <v>0.2008943654973665</v>
      </c>
      <c r="BC14" s="283">
        <f t="shared" ref="BC14" si="39">+BC12/AX12-1</f>
        <v>0.15894344484837331</v>
      </c>
      <c r="BD14" s="283">
        <f t="shared" ref="BD14" si="40">+BD12/AY12-1</f>
        <v>0.10135230687643637</v>
      </c>
      <c r="BE14" s="283">
        <f t="shared" ref="BE14" si="41">+BE12/AZ12-1</f>
        <v>7.0933514607870674E-2</v>
      </c>
      <c r="BF14" s="473">
        <f t="shared" ref="BF14" si="42">+BF12/BA12-1</f>
        <v>0.12791116800615177</v>
      </c>
      <c r="BG14" s="379">
        <f t="shared" ref="BG14" si="43">+BG12/BB12-1</f>
        <v>9.1571090478791195E-2</v>
      </c>
      <c r="BH14" s="379">
        <f t="shared" ref="BH14" si="44">+BH12/BC12-1</f>
        <v>0.23868969624776648</v>
      </c>
      <c r="BI14" s="379">
        <f t="shared" ref="BI14" si="45">+BI12/BD12-1</f>
        <v>0.15757541711139833</v>
      </c>
      <c r="BJ14" s="379">
        <f t="shared" ref="BJ14" si="46">+BJ12/BE12-1</f>
        <v>0.17320509459217037</v>
      </c>
      <c r="BK14" s="473">
        <f t="shared" ref="BK14" si="47">+BK12/BF12-1</f>
        <v>0.1662973837727284</v>
      </c>
      <c r="BL14" s="379">
        <f t="shared" ref="BL14" si="48">+BL12/BG12-1</f>
        <v>9.3956577112014106E-2</v>
      </c>
      <c r="BM14" s="379">
        <f t="shared" ref="BM14" si="49">+BM12/BH12-1</f>
        <v>-0.11262196920157452</v>
      </c>
      <c r="BN14" s="379">
        <f t="shared" ref="BN14" si="50">+BN12/BI12-1</f>
        <v>0.12074153159274004</v>
      </c>
      <c r="BO14" s="379">
        <f t="shared" ref="BO14" si="51">+BO12/BJ12-1</f>
        <v>0.14075346090965768</v>
      </c>
      <c r="BP14" s="473">
        <f t="shared" ref="BP14" si="52">+BP12/BK12-1</f>
        <v>6.0076920777577314E-2</v>
      </c>
      <c r="BQ14" s="379">
        <f t="shared" ref="BQ14" si="53">+BQ12/BL12-1</f>
        <v>6.0759774368356112E-2</v>
      </c>
      <c r="BR14" s="379">
        <f t="shared" ref="BR14" si="54">+BR12/BM12-1</f>
        <v>7.9109923057472109E-2</v>
      </c>
      <c r="BS14" s="379">
        <f t="shared" ref="BS14" si="55">+BS12/BN12-1</f>
        <v>0.1350752823862722</v>
      </c>
      <c r="BT14" s="379">
        <f t="shared" ref="BT14" si="56">+BT12/BO12-1</f>
        <v>5.6223450323751312E-2</v>
      </c>
      <c r="BU14" s="473">
        <f t="shared" ref="BU14" si="57">+BU12/BP12-1</f>
        <v>8.2179978225282113E-2</v>
      </c>
      <c r="BV14" s="379">
        <f t="shared" ref="BV14" si="58">+BV12/BQ12-1</f>
        <v>0.10205642369050305</v>
      </c>
      <c r="BW14" s="379">
        <f t="shared" ref="BW14" si="59">+BW12/BR12-1</f>
        <v>0.1016650386636766</v>
      </c>
      <c r="BX14" s="379">
        <f t="shared" ref="BX14" si="60">+BX12/BS12-1</f>
        <v>9.3303722655781574E-2</v>
      </c>
      <c r="BY14" s="379">
        <f t="shared" ref="BY14" si="61">+BY12/BT12-1</f>
        <v>6.274328402617102E-2</v>
      </c>
      <c r="BZ14" s="473">
        <f t="shared" ref="BZ14" si="62">+BZ12/BU12-1</f>
        <v>8.7987415303446115E-2</v>
      </c>
      <c r="CA14" s="379">
        <f t="shared" ref="CA14" si="63">+CA12/BV12-1</f>
        <v>6.6357696452777448E-2</v>
      </c>
      <c r="CB14" s="379">
        <f t="shared" ref="CB14" si="64">+CB12/BW12-1</f>
        <v>6.9950019777084371E-2</v>
      </c>
      <c r="CC14" s="379">
        <f t="shared" ref="CC14" si="65">+CC12/BX12-1</f>
        <v>6.0855414670732522E-2</v>
      </c>
      <c r="CD14" s="379">
        <f t="shared" ref="CD14" si="66">+CD12/BY12-1</f>
        <v>6.1347785507849029E-2</v>
      </c>
      <c r="CE14" s="473">
        <f t="shared" ref="CE14" si="67">+CE12/BZ12-1</f>
        <v>6.4224157358047318E-2</v>
      </c>
    </row>
    <row r="15" spans="2:83" s="121" customFormat="1" ht="12.75">
      <c r="B15" s="273" t="s">
        <v>129</v>
      </c>
      <c r="C15" s="275"/>
      <c r="D15" s="276"/>
      <c r="E15" s="276">
        <f t="shared" ref="E15:G15" si="68">+E12/D12-1</f>
        <v>-5.2808046940486131E-2</v>
      </c>
      <c r="F15" s="276">
        <f t="shared" si="68"/>
        <v>0.18221238938053097</v>
      </c>
      <c r="G15" s="276">
        <f t="shared" si="68"/>
        <v>0.19488734186690615</v>
      </c>
      <c r="H15" s="276"/>
      <c r="I15" s="276">
        <f>+I12/G12-1</f>
        <v>-0.18643696162881751</v>
      </c>
      <c r="J15" s="276">
        <f>+J12/I12-1</f>
        <v>6.8263196396257664E-2</v>
      </c>
      <c r="K15" s="276">
        <f>+K12/J12-1</f>
        <v>7.8930296258920229E-2</v>
      </c>
      <c r="L15" s="276">
        <f>+L12/K12-1</f>
        <v>0.18880277926242695</v>
      </c>
      <c r="M15" s="276"/>
      <c r="N15" s="276">
        <f>+N12/L12-1</f>
        <v>-3.6753962009666519E-2</v>
      </c>
      <c r="O15" s="276">
        <f>+O12/N12-1</f>
        <v>-4.8483080513418875E-2</v>
      </c>
      <c r="P15" s="276">
        <f>+P12/O12-1</f>
        <v>0.13483352750015332</v>
      </c>
      <c r="Q15" s="276">
        <f>+Q12/P12-1</f>
        <v>0.20169656364815225</v>
      </c>
      <c r="R15" s="529"/>
      <c r="S15" s="276">
        <f>+S12/Q12-1</f>
        <v>-4.6535677352637084E-3</v>
      </c>
      <c r="T15" s="276">
        <f>+T12/S12-1</f>
        <v>-0.11900621118012422</v>
      </c>
      <c r="U15" s="276">
        <f>+U12/T12-1</f>
        <v>0.20930113315900112</v>
      </c>
      <c r="V15" s="276">
        <f>+V12/U12-1</f>
        <v>0.17046851812592756</v>
      </c>
      <c r="W15" s="529"/>
      <c r="X15" s="276">
        <f>+X12/V12-1</f>
        <v>-0.12502943254061694</v>
      </c>
      <c r="Y15" s="276">
        <f>+Y12/X12-1</f>
        <v>4.8335679390577146E-2</v>
      </c>
      <c r="Z15" s="276">
        <f>+Z12/Y12-1</f>
        <v>0.13743261655115213</v>
      </c>
      <c r="AA15" s="276">
        <f>+AA12/Z12-1</f>
        <v>2.9008905786156891E-2</v>
      </c>
      <c r="AB15" s="529"/>
      <c r="AC15" s="276">
        <f>+AC12/AA12-1</f>
        <v>3.1379694301042704E-2</v>
      </c>
      <c r="AD15" s="276">
        <f>+AD12/AC12-1</f>
        <v>-4.7404063205417568E-2</v>
      </c>
      <c r="AE15" s="276">
        <f>+AE12/AD12-1</f>
        <v>0.13776701696545102</v>
      </c>
      <c r="AF15" s="276">
        <f>+AF12/AE12-1</f>
        <v>0.1323593775939873</v>
      </c>
      <c r="AG15" s="529"/>
      <c r="AH15" s="276">
        <f>+AH12/AF12-1</f>
        <v>-0.10425302216476295</v>
      </c>
      <c r="AI15" s="276">
        <f>+AI12/AH12-1</f>
        <v>4.5248262829764796E-2</v>
      </c>
      <c r="AJ15" s="276">
        <f>+AJ12/AI12-1</f>
        <v>0.13291481608017319</v>
      </c>
      <c r="AK15" s="276">
        <f>+AK12/AJ12-1</f>
        <v>8.7818056166363068E-2</v>
      </c>
      <c r="AL15" s="529"/>
      <c r="AM15" s="276">
        <f>+AM12/AK12-1</f>
        <v>-1.5893917342389208E-2</v>
      </c>
      <c r="AN15" s="276">
        <f>+AN12/AM12-1</f>
        <v>-4.3745158337050172E-2</v>
      </c>
      <c r="AO15" s="538">
        <f>+AO12/AN12-1</f>
        <v>5.1748474917455267E-2</v>
      </c>
      <c r="AP15" s="276">
        <f>+AP12/AO12-1</f>
        <v>0.13565651732468176</v>
      </c>
      <c r="AQ15" s="529"/>
      <c r="AR15" s="276">
        <f>+AR12/AP12-1</f>
        <v>-4.8401516786386045E-3</v>
      </c>
      <c r="AS15" s="276">
        <f>+AS12/AR12-1</f>
        <v>-0.10469847170590663</v>
      </c>
      <c r="AT15" s="276">
        <f>+AT12/AS12-1</f>
        <v>4.9053644133285612E-2</v>
      </c>
      <c r="AU15" s="276">
        <f>+AU12/AT12-1</f>
        <v>0.31269652791520985</v>
      </c>
      <c r="AV15" s="529"/>
      <c r="AW15" s="276">
        <f>+AW12/AU12-1</f>
        <v>-0.15716738556890997</v>
      </c>
      <c r="AX15" s="276">
        <f>+AX12/AW12-1</f>
        <v>7.9747590181854289E-2</v>
      </c>
      <c r="AY15" s="276">
        <f>+AY12/AX12-1</f>
        <v>4.1277437761722879E-2</v>
      </c>
      <c r="AZ15" s="276">
        <f>+AZ12/AY12-1</f>
        <v>0.1961993989747215</v>
      </c>
      <c r="BA15" s="529"/>
      <c r="BB15" s="276">
        <f>+BB12/AZ12-1</f>
        <v>-0.10708005142679811</v>
      </c>
      <c r="BC15" s="276">
        <f>+BC12/BB12-1</f>
        <v>4.2028697681346427E-2</v>
      </c>
      <c r="BD15" s="276">
        <f>+BD12/BC12-1</f>
        <v>-1.046654754814369E-2</v>
      </c>
      <c r="BE15" s="276">
        <f>+BE12/BD12-1</f>
        <v>0.16316097811519414</v>
      </c>
      <c r="BF15" s="543"/>
      <c r="BG15" s="332">
        <f>+BG12/BE12-1</f>
        <v>-8.9872911175813086E-2</v>
      </c>
      <c r="BH15" s="332">
        <f>+BH12/BG12-1</f>
        <v>0.18247013160288672</v>
      </c>
      <c r="BI15" s="332">
        <f>+BI12/BH12-1</f>
        <v>-7.5265094690412981E-2</v>
      </c>
      <c r="BJ15" s="332">
        <f>+BJ12/BI12-1</f>
        <v>0.17886607229517071</v>
      </c>
      <c r="BK15" s="543"/>
      <c r="BL15" s="332">
        <f>+BL12/BJ12-1</f>
        <v>-0.15135084273297184</v>
      </c>
      <c r="BM15" s="332">
        <f>+BM12/BL12-1</f>
        <v>-4.0822973403739304E-2</v>
      </c>
      <c r="BN15" s="332">
        <f>+BN12/BM12-1</f>
        <v>0.16792255174655923</v>
      </c>
      <c r="BO15" s="332">
        <f>+BO12/BN12-1</f>
        <v>0.1999158717786933</v>
      </c>
      <c r="BP15" s="543"/>
      <c r="BQ15" s="332">
        <f>+BQ12/BO12-1</f>
        <v>-0.21086113746030433</v>
      </c>
      <c r="BR15" s="332">
        <f>+BR12/BQ12-1</f>
        <v>-2.4230110926741322E-2</v>
      </c>
      <c r="BS15" s="332">
        <f>+BS12/BR12-1</f>
        <v>0.22849395775449399</v>
      </c>
      <c r="BT15" s="332">
        <f>+BT12/BS12-1</f>
        <v>0.11655966952597896</v>
      </c>
      <c r="BU15" s="543"/>
      <c r="BV15" s="332">
        <f>+BV12/BT12-1</f>
        <v>-0.17661783367987405</v>
      </c>
      <c r="BW15" s="332">
        <f>+BW12/BV12-1</f>
        <v>-2.4576646472473596E-2</v>
      </c>
      <c r="BX15" s="332">
        <f>+BX12/BW12-1</f>
        <v>0.21917004727891531</v>
      </c>
      <c r="BY15" s="332">
        <f>+BY12/BX12-1</f>
        <v>8.534917188497726E-2</v>
      </c>
      <c r="BZ15" s="543"/>
      <c r="CA15" s="332">
        <f>+CA12/BY12-1</f>
        <v>-0.17381749348622078</v>
      </c>
      <c r="CB15" s="332">
        <f>+CB12/CA12-1</f>
        <v>-2.1290660845317833E-2</v>
      </c>
      <c r="CC15" s="332">
        <f>+CC12/CB12-1</f>
        <v>0.20880706776347591</v>
      </c>
      <c r="CD15" s="332">
        <f>+CD12/CC12-1</f>
        <v>8.5852910917586511E-2</v>
      </c>
      <c r="CE15" s="543"/>
    </row>
    <row r="16" spans="2:83" s="121" customFormat="1" ht="12.75">
      <c r="B16" s="273"/>
      <c r="C16" s="275"/>
      <c r="D16" s="276"/>
      <c r="E16" s="276"/>
      <c r="F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529"/>
      <c r="S16" s="276"/>
      <c r="T16" s="276"/>
      <c r="U16" s="276"/>
      <c r="V16" s="276"/>
      <c r="W16" s="529"/>
      <c r="X16" s="276"/>
      <c r="Y16" s="276"/>
      <c r="Z16" s="276"/>
      <c r="AA16" s="276"/>
      <c r="AB16" s="529"/>
      <c r="AC16" s="276"/>
      <c r="AD16" s="276"/>
      <c r="AE16" s="276"/>
      <c r="AF16" s="276"/>
      <c r="AG16" s="529"/>
      <c r="AH16" s="276"/>
      <c r="AI16" s="276"/>
      <c r="AJ16" s="276"/>
      <c r="AK16" s="276"/>
      <c r="AL16" s="529"/>
      <c r="AM16" s="276"/>
      <c r="AN16" s="276"/>
      <c r="AO16" s="538"/>
      <c r="AP16" s="276"/>
      <c r="AQ16" s="529"/>
      <c r="AR16" s="276"/>
      <c r="AS16" s="276"/>
      <c r="AT16" s="276"/>
      <c r="AU16" s="276"/>
      <c r="AV16" s="529"/>
      <c r="AW16" s="276"/>
      <c r="AX16" s="276"/>
      <c r="AY16" s="276"/>
      <c r="AZ16" s="276"/>
      <c r="BA16" s="529"/>
      <c r="BB16" s="276"/>
      <c r="BC16" s="276"/>
      <c r="BD16" s="276"/>
      <c r="BE16" s="276"/>
      <c r="BF16" s="529"/>
      <c r="BG16" s="276"/>
      <c r="BH16" s="276"/>
      <c r="BI16" s="276"/>
      <c r="BJ16" s="276"/>
      <c r="BK16" s="529"/>
      <c r="BL16" s="276"/>
      <c r="BM16" s="276"/>
      <c r="BN16" s="276"/>
      <c r="BO16" s="276"/>
      <c r="BP16" s="529"/>
      <c r="BQ16" s="276"/>
      <c r="BR16" s="276"/>
      <c r="BS16" s="276"/>
      <c r="BT16" s="276"/>
      <c r="BU16" s="529"/>
      <c r="BV16" s="276"/>
      <c r="BW16" s="276"/>
      <c r="BX16" s="276"/>
      <c r="BY16" s="276"/>
      <c r="BZ16" s="529"/>
      <c r="CA16" s="276"/>
      <c r="CB16" s="276"/>
      <c r="CC16" s="276"/>
      <c r="CD16" s="276"/>
      <c r="CE16" s="529"/>
    </row>
    <row r="17" spans="2:83" s="121" customFormat="1" ht="12.75">
      <c r="B17" s="273" t="s">
        <v>160</v>
      </c>
      <c r="C17" s="275"/>
      <c r="D17" s="280">
        <f>+IS!D9</f>
        <v>21191</v>
      </c>
      <c r="E17" s="280">
        <f>+IS!E9</f>
        <v>22190</v>
      </c>
      <c r="F17" s="280">
        <f>+IS!F9</f>
        <v>23382</v>
      </c>
      <c r="G17" s="280">
        <f>+IS!G9</f>
        <v>24657</v>
      </c>
      <c r="H17" s="280">
        <f>+IS!H9</f>
        <v>91420</v>
      </c>
      <c r="I17" s="280">
        <f>+IS!I9</f>
        <v>24883</v>
      </c>
      <c r="J17" s="280">
        <f>+IS!J9</f>
        <v>26291</v>
      </c>
      <c r="K17" s="280">
        <f>+IS!K9</f>
        <v>27749</v>
      </c>
      <c r="L17" s="280">
        <f>+IS!L9</f>
        <v>29039.000000000011</v>
      </c>
      <c r="M17" s="280">
        <f>+IS!M9</f>
        <v>107962.00000000001</v>
      </c>
      <c r="N17" s="280">
        <f>+IS!N9</f>
        <v>30356</v>
      </c>
      <c r="O17" s="280">
        <f>+IS!O9</f>
        <v>32302</v>
      </c>
      <c r="P17" s="280">
        <f>+IS!P9</f>
        <v>34348</v>
      </c>
      <c r="Q17" s="280">
        <f>+IS!Q9</f>
        <v>36573</v>
      </c>
      <c r="R17" s="530">
        <f>+IS!R9</f>
        <v>133579</v>
      </c>
      <c r="S17" s="280">
        <f>+IS!S9</f>
        <v>37493</v>
      </c>
      <c r="T17" s="280">
        <f>+IS!T9</f>
        <v>39877</v>
      </c>
      <c r="U17" s="280">
        <f>+IS!U9</f>
        <v>42469</v>
      </c>
      <c r="V17" s="280">
        <f>+IS!V9</f>
        <v>44445</v>
      </c>
      <c r="W17" s="530">
        <f>+IS!W9</f>
        <v>164284</v>
      </c>
      <c r="X17" s="280">
        <f>+IS!X9</f>
        <v>46248</v>
      </c>
      <c r="Y17" s="280">
        <f>+IS!Y9</f>
        <v>48466</v>
      </c>
      <c r="Z17" s="280">
        <f>+IS!Z9</f>
        <v>50987</v>
      </c>
      <c r="AA17" s="280">
        <f>+IS!AA9</f>
        <v>52224</v>
      </c>
      <c r="AB17" s="530">
        <f>+IS!AB9</f>
        <v>197925</v>
      </c>
      <c r="AC17" s="280">
        <f>+IS!AC9</f>
        <v>53121</v>
      </c>
      <c r="AD17" s="280">
        <f>+IS!AD9</f>
        <v>55302</v>
      </c>
      <c r="AE17" s="280">
        <f>+IS!AE9</f>
        <v>59490</v>
      </c>
      <c r="AF17" s="280">
        <f>+IS!AF9</f>
        <v>62915</v>
      </c>
      <c r="AG17" s="530">
        <f>+IS!AG9</f>
        <v>230828</v>
      </c>
      <c r="AH17" s="280">
        <f>+IS!AH9</f>
        <v>64878</v>
      </c>
      <c r="AI17" s="280">
        <f>+IS!AI9</f>
        <v>68153</v>
      </c>
      <c r="AJ17" s="280">
        <f>+IS!AJ9</f>
        <v>71658</v>
      </c>
      <c r="AK17" s="280">
        <f>+IS!AK9</f>
        <v>74200</v>
      </c>
      <c r="AL17" s="530">
        <f>+IS!AL9</f>
        <v>278889</v>
      </c>
      <c r="AM17" s="280">
        <f>+IS!AM9</f>
        <v>75343</v>
      </c>
      <c r="AN17" s="280">
        <f>+IS!AN9</f>
        <v>78929</v>
      </c>
      <c r="AO17" s="534">
        <f>+IS!AO9</f>
        <v>82671</v>
      </c>
      <c r="AP17" s="280">
        <f>+IS!AP9</f>
        <v>84664</v>
      </c>
      <c r="AQ17" s="530">
        <f>+IS!AQ9</f>
        <v>321607</v>
      </c>
      <c r="AR17" s="280">
        <f>+IS!AR9</f>
        <v>86263</v>
      </c>
      <c r="AS17" s="280">
        <f>+IS!AS9</f>
        <v>88830</v>
      </c>
      <c r="AT17" s="280">
        <f>+IS!AT9</f>
        <v>93069</v>
      </c>
      <c r="AU17" s="280">
        <f>+IS!AU9</f>
        <v>94801</v>
      </c>
      <c r="AV17" s="530">
        <f>+IS!AV9</f>
        <v>362963</v>
      </c>
      <c r="AW17" s="280">
        <f>+IS!AW9</f>
        <v>96756</v>
      </c>
      <c r="AX17" s="280">
        <f>+IS!AX9</f>
        <v>99702</v>
      </c>
      <c r="AY17" s="280">
        <f>+IS!AY9</f>
        <v>104934</v>
      </c>
      <c r="AZ17" s="280">
        <f>+IS!AZ9</f>
        <v>109780</v>
      </c>
      <c r="BA17" s="530">
        <f>+IS!BA9</f>
        <v>411172</v>
      </c>
      <c r="BB17" s="280">
        <f>+IS!BB9</f>
        <v>113420</v>
      </c>
      <c r="BC17" s="280">
        <f>+IS!BC9</f>
        <v>119893</v>
      </c>
      <c r="BD17" s="280">
        <f>+IS!BD9</f>
        <v>125561</v>
      </c>
      <c r="BE17" s="280">
        <f>+IS!BE9</f>
        <v>130849</v>
      </c>
      <c r="BF17" s="530">
        <f>+IS!BF9</f>
        <v>489723</v>
      </c>
      <c r="BG17" s="280">
        <f>+IS!BG9</f>
        <v>130683</v>
      </c>
      <c r="BH17" s="280">
        <f>+IS!BH9</f>
        <v>137209</v>
      </c>
      <c r="BI17" s="280">
        <f>+IS!BI9</f>
        <v>141996</v>
      </c>
      <c r="BJ17" s="280">
        <f>+IS!BJ9</f>
        <v>144570</v>
      </c>
      <c r="BK17" s="530">
        <f>+IS!BK9</f>
        <v>554458</v>
      </c>
      <c r="BL17" s="280">
        <f>+IS!BL9</f>
        <v>145805</v>
      </c>
      <c r="BM17" s="280">
        <f>+IS!BM9</f>
        <v>148708</v>
      </c>
      <c r="BN17" s="280">
        <f>+IS!BN9</f>
        <v>153867</v>
      </c>
      <c r="BO17" s="280">
        <f>+IS!BO9</f>
        <v>159191</v>
      </c>
      <c r="BP17" s="530">
        <f>+IS!BP9</f>
        <v>607571</v>
      </c>
      <c r="BQ17" s="280">
        <f>+IS!BQ9</f>
        <v>159899</v>
      </c>
      <c r="BR17" s="280">
        <f>+IS!BR9</f>
        <v>164062</v>
      </c>
      <c r="BS17" s="280">
        <f>+IS!BS9</f>
        <v>169882</v>
      </c>
      <c r="BT17" s="280">
        <f>+IS!BT9</f>
        <v>175282</v>
      </c>
      <c r="BU17" s="530">
        <f>+IS!BU9</f>
        <v>669125</v>
      </c>
      <c r="BV17" s="280">
        <f>+IS!BV9</f>
        <v>173490.41500000001</v>
      </c>
      <c r="BW17" s="280">
        <f>+IS!BW9</f>
        <v>177186.96000000002</v>
      </c>
      <c r="BX17" s="280">
        <f>+IS!BX9</f>
        <v>182623.15</v>
      </c>
      <c r="BY17" s="280">
        <f>+IS!BY9</f>
        <v>187551.74000000002</v>
      </c>
      <c r="BZ17" s="530">
        <f>+IS!BZ9</f>
        <v>720852.26500000013</v>
      </c>
      <c r="CA17" s="280">
        <f>+IS!CA9</f>
        <v>187369.64820000003</v>
      </c>
      <c r="CB17" s="280">
        <f>+IS!CB9</f>
        <v>189590.04720000003</v>
      </c>
      <c r="CC17" s="280">
        <f>+IS!CC9</f>
        <v>193580.53899999999</v>
      </c>
      <c r="CD17" s="280">
        <f>+IS!CD9</f>
        <v>198804.84440000003</v>
      </c>
      <c r="CE17" s="530">
        <f>+IS!CE9</f>
        <v>769345.07880000013</v>
      </c>
    </row>
    <row r="18" spans="2:83" s="121" customFormat="1" ht="12.75">
      <c r="B18" s="273" t="s">
        <v>354</v>
      </c>
      <c r="C18" s="275"/>
      <c r="D18" s="279">
        <f>48354</f>
        <v>48354</v>
      </c>
      <c r="E18" s="279">
        <f>48999</f>
        <v>48999</v>
      </c>
      <c r="F18" s="279">
        <f>51693</f>
        <v>51693</v>
      </c>
      <c r="G18" s="280">
        <f>+H18</f>
        <v>56497</v>
      </c>
      <c r="H18" s="280">
        <f>+BS!H29</f>
        <v>56497</v>
      </c>
      <c r="I18" s="279">
        <f>58356</f>
        <v>58356</v>
      </c>
      <c r="J18" s="279">
        <f>58835</f>
        <v>58835</v>
      </c>
      <c r="K18" s="279">
        <f>61389</f>
        <v>61389</v>
      </c>
      <c r="L18" s="280">
        <f>+M18</f>
        <v>67505</v>
      </c>
      <c r="M18" s="280">
        <f>+BS!M29</f>
        <v>67505</v>
      </c>
      <c r="N18" s="280">
        <f>+BS!N29</f>
        <v>71410</v>
      </c>
      <c r="O18" s="280">
        <f>+BS!O29</f>
        <v>71853</v>
      </c>
      <c r="P18" s="280">
        <f>+BS!P29</f>
        <v>74337</v>
      </c>
      <c r="Q18" s="280">
        <f>+BS!Q29</f>
        <v>81147</v>
      </c>
      <c r="R18" s="530">
        <f>+BS!R29</f>
        <v>81147</v>
      </c>
      <c r="S18" s="280">
        <f>+BS!S29</f>
        <v>87929</v>
      </c>
      <c r="T18" s="280">
        <f>+BS!T29</f>
        <v>87411</v>
      </c>
      <c r="U18" s="280">
        <f>+BS!U29</f>
        <v>91939</v>
      </c>
      <c r="V18" s="280">
        <f>+BS!V29</f>
        <v>98025</v>
      </c>
      <c r="W18" s="530">
        <f>+BS!W29</f>
        <v>98025</v>
      </c>
      <c r="X18" s="280">
        <f>+BS!X29</f>
        <v>101557</v>
      </c>
      <c r="Y18" s="280">
        <f>+BS!Y29</f>
        <v>103753</v>
      </c>
      <c r="Z18" s="280">
        <f>+BS!Z29</f>
        <v>109026</v>
      </c>
      <c r="AA18" s="280">
        <f>+BS!AA29</f>
        <v>114964</v>
      </c>
      <c r="AB18" s="530">
        <f>+BS!AB29</f>
        <v>114964</v>
      </c>
      <c r="AC18" s="280">
        <f>+BS!AC29</f>
        <v>120044</v>
      </c>
      <c r="AD18" s="280">
        <f>+BS!AD29</f>
        <v>124738</v>
      </c>
      <c r="AE18" s="280">
        <f>+BS!AE29</f>
        <v>132167</v>
      </c>
      <c r="AF18" s="280">
        <f>+BS!AF29</f>
        <v>143186</v>
      </c>
      <c r="AG18" s="530">
        <f>+BS!AG29</f>
        <v>143186</v>
      </c>
      <c r="AH18" s="280">
        <f>+BS!AH29</f>
        <v>147656</v>
      </c>
      <c r="AI18" s="280">
        <f>+BS!AI29</f>
        <v>151419</v>
      </c>
      <c r="AJ18" s="280">
        <f>+BS!AJ29</f>
        <v>155115</v>
      </c>
      <c r="AK18" s="280">
        <f>+BS!AK29</f>
        <v>164624</v>
      </c>
      <c r="AL18" s="530">
        <f>+BS!AL29</f>
        <v>164624</v>
      </c>
      <c r="AM18" s="280">
        <f>+BS!AM29</f>
        <v>174452</v>
      </c>
      <c r="AN18" s="280">
        <f>+BS!AN29</f>
        <v>176609</v>
      </c>
      <c r="AO18" s="534">
        <f>+BS!AO29</f>
        <v>180304</v>
      </c>
      <c r="AP18" s="280">
        <f>+BS!AP29</f>
        <v>192172</v>
      </c>
      <c r="AQ18" s="530">
        <f>+BS!AQ29</f>
        <v>192172</v>
      </c>
      <c r="AR18" s="280">
        <f>+BS!AR29</f>
        <v>201861</v>
      </c>
      <c r="AS18" s="280">
        <f>+BS!AS29</f>
        <v>199732</v>
      </c>
      <c r="AT18" s="280">
        <f>+BS!AT29</f>
        <v>200283</v>
      </c>
      <c r="AU18" s="280">
        <f>+BS!AU29</f>
        <v>213494</v>
      </c>
      <c r="AV18" s="530">
        <f>+BS!AV29</f>
        <v>213494</v>
      </c>
      <c r="AW18" s="280">
        <f>+BS!AW29</f>
        <v>218898</v>
      </c>
      <c r="AX18" s="280">
        <f>+BS!AX29</f>
        <v>228180</v>
      </c>
      <c r="AY18" s="280">
        <f>+BS!AY29</f>
        <v>237539</v>
      </c>
      <c r="AZ18" s="280">
        <f>+BS!AZ29</f>
        <v>257872</v>
      </c>
      <c r="BA18" s="530">
        <f>+BS!BA29</f>
        <v>257872</v>
      </c>
      <c r="BB18" s="280">
        <f>+BS!BB29</f>
        <v>266934</v>
      </c>
      <c r="BC18" s="280">
        <f>+BS!BC29</f>
        <v>275725</v>
      </c>
      <c r="BD18" s="280">
        <f>+BS!BD29</f>
        <v>278947</v>
      </c>
      <c r="BE18" s="280">
        <f>+BS!BE29</f>
        <v>293728</v>
      </c>
      <c r="BF18" s="530">
        <f>+BS!BF29</f>
        <v>293728</v>
      </c>
      <c r="BG18" s="280">
        <f>+BS!BG29</f>
        <v>296516</v>
      </c>
      <c r="BH18" s="280">
        <f>+BS!BH29</f>
        <v>302446</v>
      </c>
      <c r="BI18" s="280">
        <f>+BS!BI29</f>
        <v>307179</v>
      </c>
      <c r="BJ18" s="280">
        <f>+BS!BJ29</f>
        <v>333267</v>
      </c>
      <c r="BK18" s="530">
        <f>+BS!BK29</f>
        <v>333267</v>
      </c>
      <c r="BL18" s="280">
        <f>+BS!BL29</f>
        <v>332128</v>
      </c>
      <c r="BM18" s="280">
        <f>+BS!BM29</f>
        <v>324334</v>
      </c>
      <c r="BN18" s="280">
        <f>+BS!BN29</f>
        <v>337821</v>
      </c>
      <c r="BO18" s="280">
        <f>+BS!BO29</f>
        <v>371457</v>
      </c>
      <c r="BP18" s="530">
        <f>+BS!BP29</f>
        <v>371457</v>
      </c>
      <c r="BQ18" s="280">
        <f>+BS!BQ29</f>
        <v>366824</v>
      </c>
      <c r="BR18" s="280">
        <f>+BS!BR29</f>
        <v>354971</v>
      </c>
      <c r="BS18" s="280">
        <f>+BS!BS29</f>
        <v>371476</v>
      </c>
      <c r="BT18" s="280">
        <f>+BS!BT29</f>
        <v>401127</v>
      </c>
      <c r="BU18" s="530">
        <f>+BS!BU29</f>
        <v>401127</v>
      </c>
      <c r="BV18" s="280">
        <f>+BS!BV29</f>
        <v>396169.92000000004</v>
      </c>
      <c r="BW18" s="280">
        <f>+BS!BW29</f>
        <v>383368.68000000005</v>
      </c>
      <c r="BX18" s="280">
        <f>+BS!BX29</f>
        <v>401194.08</v>
      </c>
      <c r="BY18" s="280">
        <f>+BS!BY29</f>
        <v>431211.52499999997</v>
      </c>
      <c r="BZ18" s="530">
        <f>+BS!BZ29</f>
        <v>431211.52499999997</v>
      </c>
      <c r="CA18" s="280">
        <f>+BS!CA29</f>
        <v>423901.81440000009</v>
      </c>
      <c r="CB18" s="280">
        <f>+BS!CB29</f>
        <v>410204.48760000005</v>
      </c>
      <c r="CC18" s="280">
        <f>+BS!CC29</f>
        <v>429277.66560000007</v>
      </c>
      <c r="CD18" s="280">
        <f>+BS!CD29</f>
        <v>461396.33175000001</v>
      </c>
      <c r="CE18" s="530">
        <f>+BS!CE29</f>
        <v>461396.33175000001</v>
      </c>
    </row>
    <row r="19" spans="2:83" s="121" customFormat="1" ht="12.75">
      <c r="B19" s="273" t="s">
        <v>355</v>
      </c>
      <c r="C19" s="275"/>
      <c r="D19" s="279">
        <f>46717</f>
        <v>46717</v>
      </c>
      <c r="E19" s="280">
        <f>+D18</f>
        <v>48354</v>
      </c>
      <c r="F19" s="280">
        <f>+E18</f>
        <v>48999</v>
      </c>
      <c r="G19" s="280">
        <f>+F18</f>
        <v>51693</v>
      </c>
      <c r="H19" s="279">
        <f>46717</f>
        <v>46717</v>
      </c>
      <c r="I19" s="280">
        <f>+G18</f>
        <v>56497</v>
      </c>
      <c r="J19" s="280">
        <f>+I18</f>
        <v>58356</v>
      </c>
      <c r="K19" s="280">
        <f>+J18</f>
        <v>58835</v>
      </c>
      <c r="L19" s="280">
        <f>+K18</f>
        <v>61389</v>
      </c>
      <c r="M19" s="280">
        <f>+H18</f>
        <v>56497</v>
      </c>
      <c r="N19" s="280">
        <f>+L18</f>
        <v>67505</v>
      </c>
      <c r="O19" s="280">
        <f>+N18</f>
        <v>71410</v>
      </c>
      <c r="P19" s="280">
        <f>+O18</f>
        <v>71853</v>
      </c>
      <c r="Q19" s="280">
        <f>+P18</f>
        <v>74337</v>
      </c>
      <c r="R19" s="530">
        <f>+M18</f>
        <v>67505</v>
      </c>
      <c r="S19" s="280">
        <f>+Q18</f>
        <v>81147</v>
      </c>
      <c r="T19" s="280">
        <f>+S18</f>
        <v>87929</v>
      </c>
      <c r="U19" s="280">
        <f>+T18</f>
        <v>87411</v>
      </c>
      <c r="V19" s="280">
        <f>+U18</f>
        <v>91939</v>
      </c>
      <c r="W19" s="530">
        <f>+R18</f>
        <v>81147</v>
      </c>
      <c r="X19" s="280">
        <f>+V18</f>
        <v>98025</v>
      </c>
      <c r="Y19" s="280">
        <f>+X18</f>
        <v>101557</v>
      </c>
      <c r="Z19" s="280">
        <f>+Y18</f>
        <v>103753</v>
      </c>
      <c r="AA19" s="280">
        <f>+Z18</f>
        <v>109026</v>
      </c>
      <c r="AB19" s="530">
        <f>+W18</f>
        <v>98025</v>
      </c>
      <c r="AC19" s="280">
        <f>+AA18</f>
        <v>114964</v>
      </c>
      <c r="AD19" s="280">
        <f>+AC18</f>
        <v>120044</v>
      </c>
      <c r="AE19" s="280">
        <f>+AD18</f>
        <v>124738</v>
      </c>
      <c r="AF19" s="280">
        <f>+AE18</f>
        <v>132167</v>
      </c>
      <c r="AG19" s="530">
        <f>+AB18</f>
        <v>114964</v>
      </c>
      <c r="AH19" s="280">
        <f>+AF18</f>
        <v>143186</v>
      </c>
      <c r="AI19" s="280">
        <f>+AH18</f>
        <v>147656</v>
      </c>
      <c r="AJ19" s="280">
        <f>+AI18</f>
        <v>151419</v>
      </c>
      <c r="AK19" s="280">
        <f>+AJ18</f>
        <v>155115</v>
      </c>
      <c r="AL19" s="530">
        <f>+AG18</f>
        <v>143186</v>
      </c>
      <c r="AM19" s="280">
        <f>+AK18</f>
        <v>164624</v>
      </c>
      <c r="AN19" s="280">
        <f>+AM18</f>
        <v>174452</v>
      </c>
      <c r="AO19" s="534">
        <f>+AN18</f>
        <v>176609</v>
      </c>
      <c r="AP19" s="280">
        <f>+AO18</f>
        <v>180304</v>
      </c>
      <c r="AQ19" s="530">
        <f>+AL18</f>
        <v>164624</v>
      </c>
      <c r="AR19" s="280">
        <f>+AP18</f>
        <v>192172</v>
      </c>
      <c r="AS19" s="280">
        <f>+AR18</f>
        <v>201861</v>
      </c>
      <c r="AT19" s="280">
        <f>+AS18</f>
        <v>199732</v>
      </c>
      <c r="AU19" s="280">
        <f>+AT18</f>
        <v>200283</v>
      </c>
      <c r="AV19" s="530">
        <f>+AQ18</f>
        <v>192172</v>
      </c>
      <c r="AW19" s="280">
        <f>+AU18</f>
        <v>213494</v>
      </c>
      <c r="AX19" s="280">
        <f>+AW18</f>
        <v>218898</v>
      </c>
      <c r="AY19" s="280">
        <f>+AX18</f>
        <v>228180</v>
      </c>
      <c r="AZ19" s="280">
        <f>+AY18</f>
        <v>237539</v>
      </c>
      <c r="BA19" s="530">
        <f>+AV18</f>
        <v>213494</v>
      </c>
      <c r="BB19" s="280">
        <f>+AZ18</f>
        <v>257872</v>
      </c>
      <c r="BC19" s="280">
        <f>+BB18</f>
        <v>266934</v>
      </c>
      <c r="BD19" s="280">
        <f>+BC18</f>
        <v>275725</v>
      </c>
      <c r="BE19" s="280">
        <f>+BD18</f>
        <v>278947</v>
      </c>
      <c r="BF19" s="530">
        <f>+BA18</f>
        <v>257872</v>
      </c>
      <c r="BG19" s="280">
        <f>+BE18</f>
        <v>293728</v>
      </c>
      <c r="BH19" s="280">
        <f>+BG18</f>
        <v>296516</v>
      </c>
      <c r="BI19" s="280">
        <f>+BH18</f>
        <v>302446</v>
      </c>
      <c r="BJ19" s="280">
        <f>+BI18</f>
        <v>307179</v>
      </c>
      <c r="BK19" s="530">
        <f>+BF18</f>
        <v>293728</v>
      </c>
      <c r="BL19" s="280">
        <f>+BJ18</f>
        <v>333267</v>
      </c>
      <c r="BM19" s="280">
        <f>+BL18</f>
        <v>332128</v>
      </c>
      <c r="BN19" s="280">
        <f>+BM18</f>
        <v>324334</v>
      </c>
      <c r="BO19" s="280">
        <f>+BN18</f>
        <v>337821</v>
      </c>
      <c r="BP19" s="530">
        <f>+BK18</f>
        <v>333267</v>
      </c>
      <c r="BQ19" s="280">
        <f>+BO18</f>
        <v>371457</v>
      </c>
      <c r="BR19" s="280">
        <f>+BQ18</f>
        <v>366824</v>
      </c>
      <c r="BS19" s="280">
        <f>+BR18</f>
        <v>354971</v>
      </c>
      <c r="BT19" s="280">
        <f>+BS18</f>
        <v>371476</v>
      </c>
      <c r="BU19" s="530">
        <f>+BP18</f>
        <v>371457</v>
      </c>
      <c r="BV19" s="280">
        <f>+BT18</f>
        <v>401127</v>
      </c>
      <c r="BW19" s="280">
        <f>+BV18</f>
        <v>396169.92000000004</v>
      </c>
      <c r="BX19" s="280">
        <f>+BW18</f>
        <v>383368.68000000005</v>
      </c>
      <c r="BY19" s="280">
        <f>+BX18</f>
        <v>401194.08</v>
      </c>
      <c r="BZ19" s="530">
        <f>+BU18</f>
        <v>401127</v>
      </c>
      <c r="CA19" s="280">
        <f>+BY18</f>
        <v>431211.52499999997</v>
      </c>
      <c r="CB19" s="280">
        <f>+CA18</f>
        <v>423901.81440000009</v>
      </c>
      <c r="CC19" s="280">
        <f>+CB18</f>
        <v>410204.48760000005</v>
      </c>
      <c r="CD19" s="280">
        <f>+CC18</f>
        <v>429277.66560000007</v>
      </c>
      <c r="CE19" s="530">
        <f>+BZ18</f>
        <v>431211.52499999997</v>
      </c>
    </row>
    <row r="20" spans="2:83" s="121" customFormat="1" ht="8.25" customHeight="1">
      <c r="B20" s="273"/>
      <c r="C20" s="275"/>
      <c r="D20" s="288" t="s">
        <v>0</v>
      </c>
      <c r="E20" s="288" t="s">
        <v>0</v>
      </c>
      <c r="F20" s="288" t="s">
        <v>0</v>
      </c>
      <c r="G20" s="288" t="s">
        <v>0</v>
      </c>
      <c r="H20" s="288" t="s">
        <v>0</v>
      </c>
      <c r="I20" s="288" t="s">
        <v>0</v>
      </c>
      <c r="J20" s="288" t="s">
        <v>0</v>
      </c>
      <c r="K20" s="288" t="s">
        <v>0</v>
      </c>
      <c r="L20" s="288" t="s">
        <v>0</v>
      </c>
      <c r="M20" s="288" t="s">
        <v>0</v>
      </c>
      <c r="N20" s="288" t="s">
        <v>0</v>
      </c>
      <c r="O20" s="288" t="s">
        <v>0</v>
      </c>
      <c r="P20" s="288" t="s">
        <v>0</v>
      </c>
      <c r="Q20" s="288" t="s">
        <v>0</v>
      </c>
      <c r="R20" s="531" t="s">
        <v>0</v>
      </c>
      <c r="S20" s="288" t="s">
        <v>0</v>
      </c>
      <c r="T20" s="288" t="s">
        <v>0</v>
      </c>
      <c r="U20" s="288" t="s">
        <v>0</v>
      </c>
      <c r="V20" s="288" t="s">
        <v>0</v>
      </c>
      <c r="W20" s="531" t="s">
        <v>0</v>
      </c>
      <c r="X20" s="288" t="s">
        <v>0</v>
      </c>
      <c r="Y20" s="288" t="s">
        <v>0</v>
      </c>
      <c r="Z20" s="288" t="s">
        <v>0</v>
      </c>
      <c r="AA20" s="288" t="s">
        <v>0</v>
      </c>
      <c r="AB20" s="531" t="s">
        <v>0</v>
      </c>
      <c r="AC20" s="288" t="s">
        <v>0</v>
      </c>
      <c r="AD20" s="288" t="s">
        <v>0</v>
      </c>
      <c r="AE20" s="288" t="s">
        <v>0</v>
      </c>
      <c r="AF20" s="288" t="s">
        <v>0</v>
      </c>
      <c r="AG20" s="531" t="s">
        <v>0</v>
      </c>
      <c r="AH20" s="288" t="s">
        <v>0</v>
      </c>
      <c r="AI20" s="288" t="s">
        <v>0</v>
      </c>
      <c r="AJ20" s="288" t="s">
        <v>0</v>
      </c>
      <c r="AK20" s="288" t="s">
        <v>0</v>
      </c>
      <c r="AL20" s="531" t="s">
        <v>0</v>
      </c>
      <c r="AM20" s="288" t="s">
        <v>0</v>
      </c>
      <c r="AN20" s="288" t="s">
        <v>0</v>
      </c>
      <c r="AO20" s="535" t="s">
        <v>0</v>
      </c>
      <c r="AP20" s="288" t="s">
        <v>0</v>
      </c>
      <c r="AQ20" s="531" t="s">
        <v>0</v>
      </c>
      <c r="AR20" s="288" t="s">
        <v>0</v>
      </c>
      <c r="AS20" s="288" t="s">
        <v>0</v>
      </c>
      <c r="AT20" s="288" t="s">
        <v>0</v>
      </c>
      <c r="AU20" s="288" t="s">
        <v>0</v>
      </c>
      <c r="AV20" s="531" t="s">
        <v>0</v>
      </c>
      <c r="AW20" s="288" t="s">
        <v>0</v>
      </c>
      <c r="AX20" s="288" t="s">
        <v>0</v>
      </c>
      <c r="AY20" s="288" t="s">
        <v>0</v>
      </c>
      <c r="AZ20" s="288" t="s">
        <v>0</v>
      </c>
      <c r="BA20" s="531" t="s">
        <v>0</v>
      </c>
      <c r="BB20" s="288" t="s">
        <v>0</v>
      </c>
      <c r="BC20" s="288" t="s">
        <v>0</v>
      </c>
      <c r="BD20" s="288" t="s">
        <v>0</v>
      </c>
      <c r="BE20" s="288" t="s">
        <v>0</v>
      </c>
      <c r="BF20" s="531" t="s">
        <v>0</v>
      </c>
      <c r="BG20" s="288" t="s">
        <v>0</v>
      </c>
      <c r="BH20" s="288" t="s">
        <v>0</v>
      </c>
      <c r="BI20" s="288" t="s">
        <v>0</v>
      </c>
      <c r="BJ20" s="288" t="s">
        <v>0</v>
      </c>
      <c r="BK20" s="531" t="s">
        <v>0</v>
      </c>
      <c r="BL20" s="288" t="s">
        <v>0</v>
      </c>
      <c r="BM20" s="288" t="s">
        <v>0</v>
      </c>
      <c r="BN20" s="288" t="s">
        <v>0</v>
      </c>
      <c r="BO20" s="288" t="s">
        <v>0</v>
      </c>
      <c r="BP20" s="531" t="s">
        <v>0</v>
      </c>
      <c r="BQ20" s="288" t="s">
        <v>0</v>
      </c>
      <c r="BR20" s="288" t="s">
        <v>0</v>
      </c>
      <c r="BS20" s="288" t="s">
        <v>0</v>
      </c>
      <c r="BT20" s="288" t="s">
        <v>0</v>
      </c>
      <c r="BU20" s="531" t="s">
        <v>0</v>
      </c>
      <c r="BV20" s="288" t="s">
        <v>0</v>
      </c>
      <c r="BW20" s="288" t="s">
        <v>0</v>
      </c>
      <c r="BX20" s="288" t="s">
        <v>0</v>
      </c>
      <c r="BY20" s="288" t="s">
        <v>0</v>
      </c>
      <c r="BZ20" s="531" t="s">
        <v>0</v>
      </c>
      <c r="CA20" s="288" t="s">
        <v>0</v>
      </c>
      <c r="CB20" s="288" t="s">
        <v>0</v>
      </c>
      <c r="CC20" s="288" t="s">
        <v>0</v>
      </c>
      <c r="CD20" s="288" t="s">
        <v>0</v>
      </c>
      <c r="CE20" s="531" t="s">
        <v>0</v>
      </c>
    </row>
    <row r="21" spans="2:83" s="124" customFormat="1" ht="13.15">
      <c r="B21" s="274" t="s">
        <v>356</v>
      </c>
      <c r="C21" s="289"/>
      <c r="D21" s="280">
        <f>+D17+D18-D19</f>
        <v>22828</v>
      </c>
      <c r="E21" s="280">
        <f t="shared" ref="E21:H21" si="69">+E17+E18-E19</f>
        <v>22835</v>
      </c>
      <c r="F21" s="280">
        <f t="shared" si="69"/>
        <v>26076</v>
      </c>
      <c r="G21" s="280">
        <f t="shared" si="69"/>
        <v>29461</v>
      </c>
      <c r="H21" s="280">
        <f t="shared" si="69"/>
        <v>101200</v>
      </c>
      <c r="I21" s="280">
        <f>+I17+I18-I19</f>
        <v>26742</v>
      </c>
      <c r="J21" s="280">
        <f t="shared" ref="J21:M21" si="70">+J17+J18-J19</f>
        <v>26770</v>
      </c>
      <c r="K21" s="280">
        <f t="shared" si="70"/>
        <v>30303</v>
      </c>
      <c r="L21" s="280">
        <f t="shared" si="70"/>
        <v>35155.000000000015</v>
      </c>
      <c r="M21" s="280">
        <f t="shared" si="70"/>
        <v>118970</v>
      </c>
      <c r="N21" s="280">
        <f>+N17+N18-N19</f>
        <v>34261</v>
      </c>
      <c r="O21" s="280">
        <f t="shared" ref="O21:AV21" si="71">+O17+O18-O19</f>
        <v>32745</v>
      </c>
      <c r="P21" s="280">
        <f t="shared" si="71"/>
        <v>36832</v>
      </c>
      <c r="Q21" s="280">
        <f t="shared" si="71"/>
        <v>43383</v>
      </c>
      <c r="R21" s="530">
        <f t="shared" si="71"/>
        <v>147221</v>
      </c>
      <c r="S21" s="280">
        <f t="shared" si="71"/>
        <v>44275</v>
      </c>
      <c r="T21" s="280">
        <f t="shared" si="71"/>
        <v>39359</v>
      </c>
      <c r="U21" s="280">
        <f t="shared" si="71"/>
        <v>46997</v>
      </c>
      <c r="V21" s="280">
        <f t="shared" si="71"/>
        <v>50531</v>
      </c>
      <c r="W21" s="530">
        <f t="shared" si="71"/>
        <v>181162</v>
      </c>
      <c r="X21" s="280">
        <f t="shared" si="71"/>
        <v>49780</v>
      </c>
      <c r="Y21" s="280">
        <f t="shared" si="71"/>
        <v>50662</v>
      </c>
      <c r="Z21" s="280">
        <f t="shared" si="71"/>
        <v>56260</v>
      </c>
      <c r="AA21" s="280">
        <f t="shared" si="71"/>
        <v>58162</v>
      </c>
      <c r="AB21" s="530">
        <f t="shared" si="71"/>
        <v>214864</v>
      </c>
      <c r="AC21" s="280">
        <f t="shared" si="71"/>
        <v>58201</v>
      </c>
      <c r="AD21" s="280">
        <f t="shared" si="71"/>
        <v>59996</v>
      </c>
      <c r="AE21" s="280">
        <f t="shared" si="71"/>
        <v>66919</v>
      </c>
      <c r="AF21" s="280">
        <f t="shared" si="71"/>
        <v>73934</v>
      </c>
      <c r="AG21" s="530">
        <f t="shared" si="71"/>
        <v>259050</v>
      </c>
      <c r="AH21" s="280">
        <f t="shared" si="71"/>
        <v>69348</v>
      </c>
      <c r="AI21" s="280">
        <f t="shared" si="71"/>
        <v>71916</v>
      </c>
      <c r="AJ21" s="280">
        <f t="shared" si="71"/>
        <v>75354</v>
      </c>
      <c r="AK21" s="280">
        <f t="shared" si="71"/>
        <v>83709</v>
      </c>
      <c r="AL21" s="530">
        <f t="shared" si="71"/>
        <v>300327</v>
      </c>
      <c r="AM21" s="280">
        <f t="shared" si="71"/>
        <v>85171</v>
      </c>
      <c r="AN21" s="280">
        <f t="shared" si="71"/>
        <v>81086</v>
      </c>
      <c r="AO21" s="534">
        <f t="shared" si="71"/>
        <v>86366</v>
      </c>
      <c r="AP21" s="280">
        <f t="shared" si="71"/>
        <v>96532</v>
      </c>
      <c r="AQ21" s="530">
        <f t="shared" si="71"/>
        <v>349155</v>
      </c>
      <c r="AR21" s="280">
        <f t="shared" si="71"/>
        <v>95952</v>
      </c>
      <c r="AS21" s="280">
        <f t="shared" si="71"/>
        <v>86701</v>
      </c>
      <c r="AT21" s="280">
        <f t="shared" si="71"/>
        <v>93620</v>
      </c>
      <c r="AU21" s="280">
        <f t="shared" si="71"/>
        <v>108012</v>
      </c>
      <c r="AV21" s="530">
        <f t="shared" si="71"/>
        <v>384285</v>
      </c>
      <c r="AW21" s="280">
        <f t="shared" ref="AW21:BA21" si="72">+AW17+AW18-AW19</f>
        <v>102160</v>
      </c>
      <c r="AX21" s="280">
        <f t="shared" si="72"/>
        <v>108984</v>
      </c>
      <c r="AY21" s="280">
        <f t="shared" si="72"/>
        <v>114293</v>
      </c>
      <c r="AZ21" s="280">
        <f t="shared" si="72"/>
        <v>130113</v>
      </c>
      <c r="BA21" s="530">
        <f t="shared" si="72"/>
        <v>455550</v>
      </c>
      <c r="BB21" s="280">
        <f t="shared" ref="BB21:BF21" si="73">+BB17+BB18-BB19</f>
        <v>122482</v>
      </c>
      <c r="BC21" s="280">
        <f t="shared" si="73"/>
        <v>128684</v>
      </c>
      <c r="BD21" s="280">
        <f t="shared" si="73"/>
        <v>128783</v>
      </c>
      <c r="BE21" s="280">
        <f t="shared" si="73"/>
        <v>145630</v>
      </c>
      <c r="BF21" s="530">
        <f t="shared" si="73"/>
        <v>525579</v>
      </c>
      <c r="BG21" s="280">
        <f t="shared" ref="BG21:BK21" si="74">+BG17+BG18-BG19</f>
        <v>133471</v>
      </c>
      <c r="BH21" s="280">
        <f t="shared" si="74"/>
        <v>143139</v>
      </c>
      <c r="BI21" s="280">
        <f t="shared" si="74"/>
        <v>146729</v>
      </c>
      <c r="BJ21" s="280">
        <f t="shared" si="74"/>
        <v>170658</v>
      </c>
      <c r="BK21" s="530">
        <f t="shared" si="74"/>
        <v>593997</v>
      </c>
      <c r="BL21" s="280">
        <f t="shared" ref="BL21:BP21" si="75">+BL17+BL18-BL19</f>
        <v>144666</v>
      </c>
      <c r="BM21" s="280">
        <f t="shared" si="75"/>
        <v>140914</v>
      </c>
      <c r="BN21" s="280">
        <f t="shared" si="75"/>
        <v>167354</v>
      </c>
      <c r="BO21" s="280">
        <f t="shared" si="75"/>
        <v>192827</v>
      </c>
      <c r="BP21" s="530">
        <f t="shared" si="75"/>
        <v>645761</v>
      </c>
      <c r="BQ21" s="280">
        <f t="shared" ref="BQ21:BU21" si="76">+BQ17+BQ18-BQ19</f>
        <v>155266</v>
      </c>
      <c r="BR21" s="280">
        <f t="shared" si="76"/>
        <v>152209</v>
      </c>
      <c r="BS21" s="280">
        <f t="shared" si="76"/>
        <v>186387</v>
      </c>
      <c r="BT21" s="280">
        <f t="shared" si="76"/>
        <v>204933</v>
      </c>
      <c r="BU21" s="530">
        <f t="shared" si="76"/>
        <v>698795</v>
      </c>
      <c r="BV21" s="280">
        <f t="shared" ref="BV21:BZ21" si="77">+BV17+BV18-BV19</f>
        <v>168533.33500000008</v>
      </c>
      <c r="BW21" s="280">
        <f t="shared" si="77"/>
        <v>164385.72000000009</v>
      </c>
      <c r="BX21" s="280">
        <f t="shared" si="77"/>
        <v>200448.54999999993</v>
      </c>
      <c r="BY21" s="280">
        <f t="shared" si="77"/>
        <v>217569.185</v>
      </c>
      <c r="BZ21" s="530">
        <f t="shared" si="77"/>
        <v>750936.79</v>
      </c>
      <c r="CA21" s="280">
        <f t="shared" ref="CA21:CE21" si="78">+CA17+CA18-CA19</f>
        <v>180059.93760000012</v>
      </c>
      <c r="CB21" s="280">
        <f t="shared" si="78"/>
        <v>175892.72039999993</v>
      </c>
      <c r="CC21" s="280">
        <f t="shared" si="78"/>
        <v>212653.717</v>
      </c>
      <c r="CD21" s="280">
        <f t="shared" si="78"/>
        <v>230923.51055000001</v>
      </c>
      <c r="CE21" s="530">
        <f t="shared" si="78"/>
        <v>799529.88555000024</v>
      </c>
    </row>
    <row r="22" spans="2:83" s="124" customFormat="1" ht="13.15" hidden="1" outlineLevel="1">
      <c r="B22" s="335"/>
      <c r="C22" s="289"/>
      <c r="D22" s="309"/>
      <c r="E22" s="309"/>
      <c r="F22" s="309"/>
      <c r="G22" s="309"/>
      <c r="H22" s="309"/>
      <c r="I22" s="309"/>
      <c r="J22" s="309"/>
      <c r="K22" s="309"/>
      <c r="L22" s="309"/>
      <c r="M22" s="309"/>
      <c r="N22" s="309"/>
      <c r="O22" s="309"/>
      <c r="P22" s="309"/>
      <c r="Q22" s="309"/>
      <c r="R22" s="532"/>
      <c r="S22" s="309"/>
      <c r="T22" s="309"/>
      <c r="U22" s="309"/>
      <c r="V22" s="309"/>
      <c r="W22" s="532"/>
      <c r="X22" s="309"/>
      <c r="Y22" s="309"/>
      <c r="Z22" s="309"/>
      <c r="AA22" s="309"/>
      <c r="AB22" s="532"/>
      <c r="AC22" s="309"/>
      <c r="AD22" s="336"/>
      <c r="AE22" s="327"/>
      <c r="AF22" s="309"/>
      <c r="AG22" s="532"/>
      <c r="AH22" s="309"/>
      <c r="AI22" s="309"/>
      <c r="AJ22" s="309"/>
      <c r="AK22" s="309"/>
      <c r="AL22" s="532"/>
      <c r="AM22" s="309"/>
      <c r="AN22" s="309"/>
      <c r="AO22" s="309"/>
      <c r="AP22" s="309"/>
      <c r="AQ22" s="532"/>
      <c r="AR22" s="309"/>
      <c r="AS22" s="309"/>
      <c r="AT22" s="309"/>
      <c r="AU22" s="309"/>
      <c r="AV22" s="532"/>
      <c r="AW22" s="309"/>
      <c r="AX22" s="309"/>
      <c r="AY22" s="309"/>
      <c r="AZ22" s="309"/>
      <c r="BA22" s="532"/>
      <c r="BB22" s="309"/>
      <c r="BC22" s="309"/>
      <c r="BD22" s="309"/>
      <c r="BE22" s="309"/>
      <c r="BF22" s="532"/>
      <c r="BG22" s="309"/>
      <c r="BH22" s="309"/>
      <c r="BI22" s="309"/>
      <c r="BJ22" s="309"/>
      <c r="BK22" s="532"/>
      <c r="BL22" s="309"/>
      <c r="BM22" s="309"/>
      <c r="BN22" s="309"/>
      <c r="BO22" s="309"/>
      <c r="BP22" s="532"/>
      <c r="BQ22" s="309"/>
      <c r="BR22" s="309"/>
      <c r="BS22" s="309"/>
      <c r="BT22" s="309"/>
      <c r="BU22" s="532"/>
      <c r="BV22" s="309"/>
      <c r="BW22" s="309"/>
      <c r="BX22" s="309"/>
      <c r="BY22" s="309"/>
      <c r="BZ22" s="532"/>
      <c r="CA22" s="309"/>
      <c r="CB22" s="309"/>
      <c r="CC22" s="309"/>
      <c r="CD22" s="309"/>
      <c r="CE22" s="532"/>
    </row>
    <row r="23" spans="2:83" s="121" customFormat="1" ht="12.75" collapsed="1">
      <c r="B23" s="273" t="s">
        <v>128</v>
      </c>
      <c r="C23" s="275"/>
      <c r="D23" s="276"/>
      <c r="E23" s="276"/>
      <c r="F23" s="276"/>
      <c r="G23" s="276"/>
      <c r="H23" s="276"/>
      <c r="I23" s="283">
        <f t="shared" ref="I23" si="79">+I21/D21-1</f>
        <v>0.1714561065358331</v>
      </c>
      <c r="J23" s="283">
        <f t="shared" ref="J23" si="80">+J21/E21-1</f>
        <v>0.17232318808846059</v>
      </c>
      <c r="K23" s="283">
        <f t="shared" ref="K23" si="81">+K21/F21-1</f>
        <v>0.16210308329498391</v>
      </c>
      <c r="L23" s="283">
        <f t="shared" ref="L23" si="82">+L21/G21-1</f>
        <v>0.193272461898782</v>
      </c>
      <c r="M23" s="283">
        <f t="shared" ref="M23" si="83">+M21/H21-1</f>
        <v>0.175592885375494</v>
      </c>
      <c r="N23" s="283">
        <f t="shared" ref="N23" si="84">+N21/I21-1</f>
        <v>0.2811681998354647</v>
      </c>
      <c r="O23" s="283">
        <f t="shared" ref="O23" si="85">+O21/J21-1</f>
        <v>0.2231976092641017</v>
      </c>
      <c r="P23" s="283">
        <f t="shared" ref="P23" si="86">+P21/K21-1</f>
        <v>0.21545721545721541</v>
      </c>
      <c r="Q23" s="283">
        <f t="shared" ref="Q23" si="87">+Q21/L21-1</f>
        <v>0.23404921063860007</v>
      </c>
      <c r="R23" s="533">
        <f t="shared" ref="R23" si="88">+R21/M21-1</f>
        <v>0.23746322602336734</v>
      </c>
      <c r="S23" s="283">
        <f>+S21/N21-1</f>
        <v>0.29228568926768039</v>
      </c>
      <c r="T23" s="283">
        <f t="shared" ref="T23" si="89">+T21/O21-1</f>
        <v>0.20198503588334105</v>
      </c>
      <c r="U23" s="283">
        <f t="shared" ref="U23" si="90">+U21/P21-1</f>
        <v>0.27598284100781934</v>
      </c>
      <c r="V23" s="283">
        <f t="shared" ref="V23" si="91">+V21/Q21-1</f>
        <v>0.16476500011525252</v>
      </c>
      <c r="W23" s="533">
        <f t="shared" ref="W23" si="92">+W21/R21-1</f>
        <v>0.23054455546423402</v>
      </c>
      <c r="X23" s="283">
        <f t="shared" ref="X23" si="93">+X21/S21-1</f>
        <v>0.12433653303218528</v>
      </c>
      <c r="Y23" s="283">
        <f t="shared" ref="Y23" si="94">+Y21/T21-1</f>
        <v>0.28717701161106746</v>
      </c>
      <c r="Z23" s="283">
        <f t="shared" ref="Z23" si="95">+Z21/U21-1</f>
        <v>0.19709768708640985</v>
      </c>
      <c r="AA23" s="283">
        <f t="shared" ref="AA23" si="96">+AA21/V21-1</f>
        <v>0.15101620787239511</v>
      </c>
      <c r="AB23" s="533">
        <f t="shared" ref="AB23" si="97">+AB21/W21-1</f>
        <v>0.18603239089875356</v>
      </c>
      <c r="AC23" s="283">
        <f t="shared" ref="AC23" si="98">+AC21/X21-1</f>
        <v>0.16916432302129358</v>
      </c>
      <c r="AD23" s="283">
        <f t="shared" ref="AD23" si="99">+AD21/Y21-1</f>
        <v>0.18424065374442389</v>
      </c>
      <c r="AE23" s="283">
        <f t="shared" ref="AE23" si="100">+AE21/Z21-1</f>
        <v>0.18945965161749023</v>
      </c>
      <c r="AF23" s="283">
        <f t="shared" ref="AF23" si="101">+AF21/AA21-1</f>
        <v>0.27117361851380628</v>
      </c>
      <c r="AG23" s="533">
        <f t="shared" ref="AG23" si="102">+AG21/AB21-1</f>
        <v>0.20564636235013767</v>
      </c>
      <c r="AH23" s="283">
        <f t="shared" ref="AH23" si="103">+AH21/AC21-1</f>
        <v>0.191525918798646</v>
      </c>
      <c r="AI23" s="283">
        <f t="shared" ref="AI23" si="104">+AI21/AD21-1</f>
        <v>0.19867991199413293</v>
      </c>
      <c r="AJ23" s="283">
        <f t="shared" ref="AJ23" si="105">+AJ21/AE21-1</f>
        <v>0.12604790866570026</v>
      </c>
      <c r="AK23" s="283">
        <f t="shared" ref="AK23" si="106">+AK21/AF21-1</f>
        <v>0.13221251386371624</v>
      </c>
      <c r="AL23" s="533">
        <f t="shared" ref="AL23" si="107">+AL21/AG21-1</f>
        <v>0.15933989577301677</v>
      </c>
      <c r="AM23" s="283">
        <f t="shared" ref="AM23" si="108">+AM21/AH21-1</f>
        <v>0.2281680798292669</v>
      </c>
      <c r="AN23" s="283">
        <f t="shared" ref="AN23" si="109">+AN21/AI21-1</f>
        <v>0.12750987262917857</v>
      </c>
      <c r="AO23" s="283">
        <f t="shared" ref="AO23" si="110">+AO21/AJ21-1</f>
        <v>0.146136900496324</v>
      </c>
      <c r="AP23" s="283">
        <f t="shared" ref="AP23" si="111">+AP21/AK21-1</f>
        <v>0.15318544003631618</v>
      </c>
      <c r="AQ23" s="533">
        <f t="shared" ref="AQ23" si="112">+AQ21/AL21-1</f>
        <v>0.16258278476460664</v>
      </c>
      <c r="AR23" s="283">
        <f t="shared" ref="AR23" si="113">+AR21/AM21-1</f>
        <v>0.1265806436463115</v>
      </c>
      <c r="AS23" s="283">
        <f t="shared" ref="AS23" si="114">+AS21/AN21-1</f>
        <v>6.9247465653750284E-2</v>
      </c>
      <c r="AT23" s="283">
        <f t="shared" ref="AT23" si="115">+AT21/AO21-1</f>
        <v>8.3991385498923155E-2</v>
      </c>
      <c r="AU23" s="283">
        <f t="shared" ref="AU23" si="116">+AU21/AP21-1</f>
        <v>0.11892429453445486</v>
      </c>
      <c r="AV23" s="533">
        <f t="shared" ref="AV23" si="117">+AV21/AQ21-1</f>
        <v>0.10061434033595384</v>
      </c>
      <c r="AW23" s="283">
        <f t="shared" ref="AW23" si="118">+AW21/AR21-1</f>
        <v>6.4699016174754043E-2</v>
      </c>
      <c r="AX23" s="283">
        <f t="shared" ref="AX23" si="119">+AX21/AS21-1</f>
        <v>0.25700972307124492</v>
      </c>
      <c r="AY23" s="283">
        <f t="shared" ref="AY23" si="120">+AY21/AT21-1</f>
        <v>0.22081820123905138</v>
      </c>
      <c r="AZ23" s="283">
        <f t="shared" ref="AZ23" si="121">+AZ21/AU21-1</f>
        <v>0.2046161537606932</v>
      </c>
      <c r="BA23" s="533">
        <f t="shared" ref="BA23" si="122">+BA21/AV21-1</f>
        <v>0.18544830008977709</v>
      </c>
      <c r="BB23" s="283">
        <f t="shared" ref="BB23" si="123">+BB21/AW21-1</f>
        <v>0.19892325763508212</v>
      </c>
      <c r="BC23" s="283">
        <f t="shared" ref="BC23" si="124">+BC21/AX21-1</f>
        <v>0.18076047860236355</v>
      </c>
      <c r="BD23" s="283">
        <f t="shared" ref="BD23" si="125">+BD21/AY21-1</f>
        <v>0.12677941781211444</v>
      </c>
      <c r="BE23" s="283">
        <f t="shared" ref="BE23" si="126">+BE21/AZ21-1</f>
        <v>0.11925787584637959</v>
      </c>
      <c r="BF23" s="473">
        <f t="shared" ref="BF23" si="127">+BF21/BA21-1</f>
        <v>0.15372406980572939</v>
      </c>
      <c r="BG23" s="379">
        <f t="shared" ref="BG23" si="128">+BG21/BB21-1</f>
        <v>8.9719305693897855E-2</v>
      </c>
      <c r="BH23" s="379">
        <f t="shared" ref="BH23" si="129">+BH21/BC21-1</f>
        <v>0.11232942712380711</v>
      </c>
      <c r="BI23" s="379">
        <f t="shared" ref="BI23" si="130">+BI21/BD21-1</f>
        <v>0.13935069069675343</v>
      </c>
      <c r="BJ23" s="379">
        <f t="shared" ref="BJ23" si="131">+BJ21/BE21-1</f>
        <v>0.17186019364142013</v>
      </c>
      <c r="BK23" s="473">
        <f t="shared" ref="BK23" si="132">+BK21/BF21-1</f>
        <v>0.1301764339899425</v>
      </c>
      <c r="BL23" s="379">
        <f t="shared" ref="BL23" si="133">+BL21/BG21-1</f>
        <v>8.3875898135175486E-2</v>
      </c>
      <c r="BM23" s="379">
        <f t="shared" ref="BM23" si="134">+BM21/BH21-1</f>
        <v>-1.5544331034868186E-2</v>
      </c>
      <c r="BN23" s="379">
        <f t="shared" ref="BN23" si="135">+BN21/BI21-1</f>
        <v>0.1405652597646001</v>
      </c>
      <c r="BO23" s="379">
        <f t="shared" ref="BO23" si="136">+BO21/BJ21-1</f>
        <v>0.12990308101583281</v>
      </c>
      <c r="BP23" s="473">
        <f t="shared" ref="BP23" si="137">+BP21/BK21-1</f>
        <v>8.7145221272161288E-2</v>
      </c>
      <c r="BQ23" s="379">
        <f t="shared" ref="BQ23" si="138">+BQ21/BL21-1</f>
        <v>7.3272227060954265E-2</v>
      </c>
      <c r="BR23" s="379">
        <f t="shared" ref="BR23" si="139">+BR21/BM21-1</f>
        <v>8.0155272009878376E-2</v>
      </c>
      <c r="BS23" s="379">
        <f t="shared" ref="BS23" si="140">+BS21/BN21-1</f>
        <v>0.11372898167955348</v>
      </c>
      <c r="BT23" s="379">
        <f t="shared" ref="BT23" si="141">+BT21/BO21-1</f>
        <v>6.278166439347177E-2</v>
      </c>
      <c r="BU23" s="473">
        <f t="shared" ref="BU23" si="142">+BU21/BP21-1</f>
        <v>8.2126359442580066E-2</v>
      </c>
      <c r="BV23" s="379">
        <f t="shared" ref="BV23" si="143">+BV21/BQ21-1</f>
        <v>8.544906805095831E-2</v>
      </c>
      <c r="BW23" s="379">
        <f t="shared" ref="BW23" si="144">+BW21/BR21-1</f>
        <v>8.0000000000000515E-2</v>
      </c>
      <c r="BX23" s="379">
        <f t="shared" ref="BX23" si="145">+BX21/BS21-1</f>
        <v>7.5442761565988725E-2</v>
      </c>
      <c r="BY23" s="379">
        <f t="shared" ref="BY23" si="146">+BY21/BT21-1</f>
        <v>6.1660079147819014E-2</v>
      </c>
      <c r="BZ23" s="473">
        <f t="shared" ref="BZ23" si="147">+BZ21/BU21-1</f>
        <v>7.4616718780186053E-2</v>
      </c>
      <c r="CA23" s="379">
        <f t="shared" ref="CA23" si="148">+CA21/BV21-1</f>
        <v>6.8393606523006412E-2</v>
      </c>
      <c r="CB23" s="379">
        <f t="shared" ref="CB23" si="149">+CB21/BW21-1</f>
        <v>6.9999999999998952E-2</v>
      </c>
      <c r="CC23" s="379">
        <f t="shared" ref="CC23" si="150">+CC21/BX21-1</f>
        <v>6.0889275577199697E-2</v>
      </c>
      <c r="CD23" s="379">
        <f t="shared" ref="CD23" si="151">+CD21/BY21-1</f>
        <v>6.1379673550737479E-2</v>
      </c>
      <c r="CE23" s="473">
        <f t="shared" ref="CE23" si="152">+CE21/BZ21-1</f>
        <v>6.4709967865604456E-2</v>
      </c>
    </row>
    <row r="24" spans="2:83" s="121" customFormat="1" ht="12.75">
      <c r="B24" s="273" t="s">
        <v>129</v>
      </c>
      <c r="C24" s="275"/>
      <c r="D24" s="276"/>
      <c r="E24" s="276">
        <f t="shared" ref="E24" si="153">+E21/D21-1</f>
        <v>3.0664096723320711E-4</v>
      </c>
      <c r="F24" s="276">
        <f t="shared" ref="F24" si="154">+F21/E21-1</f>
        <v>0.14193124589446016</v>
      </c>
      <c r="G24" s="276">
        <f t="shared" ref="G24" si="155">+G21/F21-1</f>
        <v>0.12981285473232096</v>
      </c>
      <c r="H24" s="276"/>
      <c r="I24" s="276">
        <f>+I21/G21-1</f>
        <v>-9.2291504022266713E-2</v>
      </c>
      <c r="J24" s="276">
        <f>+J21/I21-1</f>
        <v>1.0470421060504442E-3</v>
      </c>
      <c r="K24" s="276">
        <f>+K21/J21-1</f>
        <v>0.13197609264101606</v>
      </c>
      <c r="L24" s="276">
        <f>+L21/K21-1</f>
        <v>0.1601161601161607</v>
      </c>
      <c r="M24" s="276"/>
      <c r="N24" s="276">
        <f>+N21/L21-1</f>
        <v>-2.5430237519556642E-2</v>
      </c>
      <c r="O24" s="276">
        <f>+O21/N21-1</f>
        <v>-4.4248562505472711E-2</v>
      </c>
      <c r="P24" s="276">
        <f>+P21/O21-1</f>
        <v>0.12481294854176217</v>
      </c>
      <c r="Q24" s="276">
        <f>+Q21/P21-1</f>
        <v>0.1778616420503909</v>
      </c>
      <c r="R24" s="529"/>
      <c r="S24" s="276">
        <f>+S21/Q21-1</f>
        <v>2.0561049258926323E-2</v>
      </c>
      <c r="T24" s="276">
        <f>+T21/S21-1</f>
        <v>-0.11103331451157539</v>
      </c>
      <c r="U24" s="276">
        <f>+U21/T21-1</f>
        <v>0.19405980843009218</v>
      </c>
      <c r="V24" s="276">
        <f>+V21/U21-1</f>
        <v>7.5196289124837667E-2</v>
      </c>
      <c r="W24" s="529"/>
      <c r="X24" s="276">
        <f>+X21/V21-1</f>
        <v>-1.4862163820229202E-2</v>
      </c>
      <c r="Y24" s="276">
        <f>+Y21/X21-1</f>
        <v>1.7717959019686536E-2</v>
      </c>
      <c r="Z24" s="276">
        <f>+Z21/Y21-1</f>
        <v>0.11049701946231894</v>
      </c>
      <c r="AA24" s="276">
        <f>+AA21/Z21-1</f>
        <v>3.3807323142552415E-2</v>
      </c>
      <c r="AB24" s="529"/>
      <c r="AC24" s="276">
        <f>+AC21/AA21-1</f>
        <v>6.7054090299500935E-4</v>
      </c>
      <c r="AD24" s="276">
        <f>+AD21/AC21-1</f>
        <v>3.0841394477758133E-2</v>
      </c>
      <c r="AE24" s="276">
        <f>+AE21/AD21-1</f>
        <v>0.11539102606840457</v>
      </c>
      <c r="AF24" s="276">
        <f>+AF21/AE21-1</f>
        <v>0.10482822516774015</v>
      </c>
      <c r="AG24" s="529"/>
      <c r="AH24" s="276">
        <f>+AH21/AF21-1</f>
        <v>-6.2028295506803333E-2</v>
      </c>
      <c r="AI24" s="276">
        <f>+AI21/AH21-1</f>
        <v>3.7030628136355714E-2</v>
      </c>
      <c r="AJ24" s="276">
        <f>+AJ21/AI21-1</f>
        <v>4.7805773402302743E-2</v>
      </c>
      <c r="AK24" s="276">
        <f>+AK21/AJ21-1</f>
        <v>0.11087666215463021</v>
      </c>
      <c r="AL24" s="529"/>
      <c r="AM24" s="276">
        <f>+AM21/AK21-1</f>
        <v>1.7465266578265082E-2</v>
      </c>
      <c r="AN24" s="276">
        <f>+AN21/AM21-1</f>
        <v>-4.7962334597456913E-2</v>
      </c>
      <c r="AO24" s="276">
        <f>+AO21/AN21-1</f>
        <v>6.5116049626322781E-2</v>
      </c>
      <c r="AP24" s="276">
        <f>+AP21/AO21-1</f>
        <v>0.11770835745548025</v>
      </c>
      <c r="AQ24" s="529"/>
      <c r="AR24" s="276">
        <f>+AR21/AP21-1</f>
        <v>-6.008370281357478E-3</v>
      </c>
      <c r="AS24" s="276">
        <f>+AS21/AR21-1</f>
        <v>-9.6412789728197446E-2</v>
      </c>
      <c r="AT24" s="276">
        <f>+AT21/AS21-1</f>
        <v>7.9803001118787575E-2</v>
      </c>
      <c r="AU24" s="276">
        <f>+AU21/AT21-1</f>
        <v>0.15372783593249295</v>
      </c>
      <c r="AV24" s="529"/>
      <c r="AW24" s="276">
        <f>+AW21/AU21-1</f>
        <v>-5.4179165277932095E-2</v>
      </c>
      <c r="AX24" s="276">
        <f>+AX21/AW21-1</f>
        <v>6.6797180892717245E-2</v>
      </c>
      <c r="AY24" s="276">
        <f>+AY21/AX21-1</f>
        <v>4.8713572634515145E-2</v>
      </c>
      <c r="AZ24" s="276">
        <f>+AZ21/AY21-1</f>
        <v>0.13841617596878208</v>
      </c>
      <c r="BA24" s="529"/>
      <c r="BB24" s="276">
        <f>+BB21/AZ21-1</f>
        <v>-5.8649020466824964E-2</v>
      </c>
      <c r="BC24" s="276">
        <f>+BC21/BB21-1</f>
        <v>5.0636011822145388E-2</v>
      </c>
      <c r="BD24" s="276">
        <f>+BD21/BC21-1</f>
        <v>7.6932641198590446E-4</v>
      </c>
      <c r="BE24" s="276">
        <f>+BE21/BD21-1</f>
        <v>0.1308169556540848</v>
      </c>
      <c r="BF24" s="543"/>
      <c r="BG24" s="332">
        <f>+BG21/BE21-1</f>
        <v>-8.3492412277689998E-2</v>
      </c>
      <c r="BH24" s="332">
        <f>+BH21/BG21-1</f>
        <v>7.2435210645009018E-2</v>
      </c>
      <c r="BI24" s="332">
        <f>+BI21/BH21-1</f>
        <v>2.508051614165252E-2</v>
      </c>
      <c r="BJ24" s="332">
        <f>+BJ21/BI21-1</f>
        <v>0.16308296246822374</v>
      </c>
      <c r="BK24" s="543"/>
      <c r="BL24" s="332">
        <f>+BL21/BJ21-1</f>
        <v>-0.15230460921843691</v>
      </c>
      <c r="BM24" s="332">
        <f>+BM21/BL21-1</f>
        <v>-2.5935603389877326E-2</v>
      </c>
      <c r="BN24" s="332">
        <f>+BN21/BM21-1</f>
        <v>0.18763217281462463</v>
      </c>
      <c r="BO24" s="332">
        <f>+BO21/BN21-1</f>
        <v>0.15221028478554444</v>
      </c>
      <c r="BP24" s="543"/>
      <c r="BQ24" s="332">
        <f>+BQ21/BO21-1</f>
        <v>-0.19479118588164523</v>
      </c>
      <c r="BR24" s="332">
        <f>+BR21/BQ21-1</f>
        <v>-1.9688792137364297E-2</v>
      </c>
      <c r="BS24" s="332">
        <f>+BS21/BR21-1</f>
        <v>0.22454651170430129</v>
      </c>
      <c r="BT24" s="332">
        <f>+BT21/BS21-1</f>
        <v>9.9502647716847248E-2</v>
      </c>
      <c r="BU24" s="543"/>
      <c r="BV24" s="332">
        <f>+BV21/BT21-1</f>
        <v>-0.17761739202568605</v>
      </c>
      <c r="BW24" s="332">
        <f>+BW21/BV21-1</f>
        <v>-2.4610057114220041E-2</v>
      </c>
      <c r="BX24" s="332">
        <f>+BX21/BW21-1</f>
        <v>0.21937933538265875</v>
      </c>
      <c r="BY24" s="332">
        <f>+BY21/BX21-1</f>
        <v>8.5411618093521158E-2</v>
      </c>
      <c r="BZ24" s="543"/>
      <c r="CA24" s="332">
        <f>+CA21/BY21-1</f>
        <v>-0.17240147036447229</v>
      </c>
      <c r="CB24" s="332">
        <f>+CB21/CA21-1</f>
        <v>-2.3143500189684585E-2</v>
      </c>
      <c r="CC24" s="332">
        <f>+CC21/CB21-1</f>
        <v>0.20899669137188503</v>
      </c>
      <c r="CD24" s="332">
        <f>+CD21/CC21-1</f>
        <v>8.5913351563941864E-2</v>
      </c>
      <c r="CE24" s="543"/>
    </row>
    <row r="25" spans="2:83" s="121" customFormat="1" ht="13.15">
      <c r="B25" s="274"/>
      <c r="C25" s="275"/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6"/>
      <c r="P25" s="276"/>
      <c r="Q25" s="276"/>
      <c r="R25" s="276"/>
      <c r="S25" s="276"/>
      <c r="T25" s="276"/>
      <c r="U25" s="276"/>
      <c r="V25" s="276"/>
      <c r="W25" s="276"/>
      <c r="X25" s="276"/>
      <c r="Y25" s="276"/>
      <c r="Z25" s="276"/>
      <c r="AA25" s="276"/>
      <c r="AB25" s="276"/>
      <c r="AC25" s="276"/>
      <c r="AD25" s="276"/>
      <c r="AE25" s="276"/>
      <c r="AF25" s="276"/>
      <c r="AG25" s="276"/>
      <c r="AH25" s="276"/>
      <c r="AI25" s="276"/>
      <c r="AJ25" s="276"/>
      <c r="AK25" s="276"/>
      <c r="AL25" s="276"/>
      <c r="AM25" s="276"/>
      <c r="AN25" s="276"/>
      <c r="AO25" s="276"/>
      <c r="AP25" s="276"/>
      <c r="AQ25" s="276"/>
      <c r="AR25" s="276"/>
      <c r="AS25" s="276"/>
      <c r="AT25" s="276"/>
      <c r="AU25" s="276"/>
      <c r="AV25" s="276"/>
      <c r="AW25" s="276"/>
      <c r="AX25" s="276"/>
      <c r="AY25" s="276"/>
      <c r="AZ25" s="276"/>
      <c r="BA25" s="276"/>
      <c r="BB25" s="276"/>
      <c r="BC25" s="276"/>
      <c r="BD25" s="276"/>
      <c r="BE25" s="276"/>
      <c r="BF25" s="276"/>
      <c r="BG25" s="276"/>
      <c r="BH25" s="276"/>
      <c r="BI25" s="276"/>
      <c r="BJ25" s="276"/>
      <c r="BK25" s="305"/>
      <c r="BL25" s="276"/>
      <c r="BM25" s="276"/>
      <c r="BN25" s="276"/>
      <c r="BO25" s="276"/>
      <c r="BP25" s="305"/>
      <c r="BQ25" s="276"/>
      <c r="BR25" s="276"/>
      <c r="BS25" s="276"/>
      <c r="BT25" s="276"/>
      <c r="BU25" s="305"/>
      <c r="BV25" s="276"/>
      <c r="BW25" s="276"/>
      <c r="BX25" s="276"/>
      <c r="BY25" s="276"/>
      <c r="BZ25" s="305"/>
      <c r="CA25" s="276"/>
      <c r="CB25" s="276"/>
      <c r="CC25" s="276"/>
      <c r="CD25" s="276"/>
      <c r="CE25" s="276"/>
    </row>
    <row r="26" spans="2:83" s="121" customFormat="1" ht="13.15">
      <c r="B26" s="274" t="s">
        <v>465</v>
      </c>
      <c r="C26" s="289"/>
      <c r="D26" s="693"/>
      <c r="E26" s="693"/>
      <c r="F26" s="693"/>
      <c r="G26" s="693"/>
      <c r="H26" s="693"/>
      <c r="I26" s="693"/>
      <c r="J26" s="693"/>
      <c r="K26" s="693"/>
      <c r="L26" s="693"/>
      <c r="M26" s="693"/>
      <c r="N26" s="693"/>
      <c r="O26" s="693"/>
      <c r="P26" s="693"/>
      <c r="Q26" s="693"/>
      <c r="R26" s="693"/>
      <c r="S26" s="693"/>
      <c r="T26" s="693"/>
      <c r="U26" s="693"/>
      <c r="V26" s="693"/>
      <c r="W26" s="693"/>
      <c r="X26" s="693"/>
      <c r="Y26" s="693"/>
      <c r="Z26" s="693"/>
      <c r="AA26" s="693"/>
      <c r="AB26" s="693"/>
      <c r="AC26" s="693"/>
      <c r="AD26" s="693"/>
      <c r="AE26" s="693"/>
      <c r="AF26" s="693"/>
      <c r="AG26" s="693"/>
      <c r="AH26" s="693"/>
      <c r="AI26" s="693"/>
      <c r="AJ26" s="693"/>
      <c r="AK26" s="693"/>
      <c r="AL26" s="693"/>
      <c r="AM26" s="693">
        <f>SUM(AM21,AI21:AK21)/SUM(AH21,AD21:AF22)-1</f>
        <v>0.1700722065752025</v>
      </c>
      <c r="AN26" s="693">
        <f>SUM(AM21:AN21,AJ21:AK21)/SUM(AH21:AI21,AE21:AF21)-1</f>
        <v>0.15313859143546837</v>
      </c>
      <c r="AO26" s="693">
        <f>SUM(AM21:AO21,AK21)/SUM(AH21:AJ21,AF21)-1</f>
        <v>0.15756215754839076</v>
      </c>
      <c r="AP26" s="693"/>
      <c r="AQ26" s="693">
        <f>AQ21/AL21-1</f>
        <v>0.16258278476460664</v>
      </c>
      <c r="AR26" s="693">
        <f>SUM(AR21,AN21:AP21)/SUM(AM21,AI21:AK22)-1</f>
        <v>0.13849754863197838</v>
      </c>
      <c r="AS26" s="693">
        <f>SUM(AR21:AS21,AO21:AP21)/SUM(AM21:AN21,AJ21:AK21)-1</f>
        <v>0.12366592893151362</v>
      </c>
      <c r="AT26" s="693">
        <f>SUM(AR21:AT21,AP21)/SUM(AM21:AO21,AK21)-1</f>
        <v>0.10844344278867313</v>
      </c>
      <c r="AU26" s="693">
        <f>SUM(AS21:AU21,AR21)/SUM(AN21:AP21,AM21)-1</f>
        <v>0.10061434033595384</v>
      </c>
      <c r="AV26" s="333">
        <f>AV21/AQ21-1</f>
        <v>0.10061434033595384</v>
      </c>
      <c r="AW26" s="333">
        <f>SUM(AW21,AS21:AU21)/SUM(AR21,AN21:AP22)-1</f>
        <v>8.4895648115220546E-2</v>
      </c>
      <c r="AX26" s="333">
        <f>SUM(AW21:AX21,AT21:AU21)/SUM(AR21:AS21,AO21:AP21)-1</f>
        <v>0.12918854003955671</v>
      </c>
      <c r="AY26" s="333">
        <f>SUM(AW21:AY21,AU21)/SUM(AR21:AT21,AP21)-1</f>
        <v>0.16266949209372195</v>
      </c>
      <c r="AZ26" s="333">
        <f>SUM(AX21:AZ21,AW21)/SUM(AS21:AU21,AR21)-1</f>
        <v>0.18544830008977709</v>
      </c>
      <c r="BA26" s="332"/>
      <c r="BB26" s="333">
        <f>SUM(BB21,AX21:AZ21)/SUM(AW21,AS21:AU22)-1</f>
        <v>0.21864412422245727</v>
      </c>
      <c r="BC26" s="333">
        <f>SUM(BB21:BC21,AY21:AZ21)/SUM(AW21:AX21,AT21:AU21)-1</f>
        <v>0.20058336725003389</v>
      </c>
      <c r="BD26" s="333">
        <f>SUM(BB21:BD21,AZ21)/SUM(AW21:AY21,AU21)-1</f>
        <v>0.17675205156777385</v>
      </c>
      <c r="BE26" s="333">
        <f>SUM(BC21:BE21,BB21)/SUM(AX21:AZ21,AW21)-1</f>
        <v>0.15372406980572939</v>
      </c>
      <c r="BF26" s="332"/>
      <c r="BG26" s="333">
        <f>SUM(BG21,BC21:BE21)/SUM(BB21,AX21:AZ22)-1</f>
        <v>0.12754690336897312</v>
      </c>
      <c r="BH26" s="333">
        <f>SUM(BG21:BH21,BD21:BE21)/SUM(BB21:BC21,AY21:AZ21)-1</f>
        <v>0.11189292373257564</v>
      </c>
      <c r="BI26" s="333">
        <f>SUM(BG21:BI21,BE21)/SUM(BB21:BD21,AZ21)-1</f>
        <v>0.11548988162223406</v>
      </c>
      <c r="BJ26" s="333">
        <f>SUM(BH21:BJ21,BG21)/SUM(BC21:BE21,BB21)-1</f>
        <v>0.1301764339899425</v>
      </c>
      <c r="BK26" s="305"/>
      <c r="BL26" s="333">
        <f>SUM(BL21,BH21:BJ21)/SUM(BG21,BC21:BE22)-1</f>
        <v>0.12789432094347775</v>
      </c>
      <c r="BM26" s="333">
        <f>SUM(BL21:BM21,BI21:BJ21)/SUM(BG21:BH21,BD21:BE21)-1</f>
        <v>9.4268297330601492E-2</v>
      </c>
      <c r="BN26" s="333">
        <f>SUM(BL21:BN21,BJ21)/SUM(BG21:BI21,BE21)-1</f>
        <v>9.6003472948438251E-2</v>
      </c>
      <c r="BO26" s="333">
        <f>SUM(BM21:BO21,BL21)/SUM(BH21:BJ21,BG21)-1</f>
        <v>8.7145221272161288E-2</v>
      </c>
      <c r="BP26" s="305"/>
      <c r="BQ26" s="333">
        <f>SUM(BQ21,BM21:BO21)/SUM(BL21,BH21:BJ21)-1</f>
        <v>8.4550027098837965E-2</v>
      </c>
      <c r="BR26" s="333">
        <f>SUM(BQ21:BR21,BN21:BO21)/SUM(BL21:BM21,BI21:BJ21)-1</f>
        <v>0.10728447825502885</v>
      </c>
      <c r="BS26" s="333">
        <f>SUM(BQ21:BS21,BO21)/SUM(BL21:BN21,BJ21)-1</f>
        <v>0.10118314538993434</v>
      </c>
      <c r="BT26" s="333">
        <f>SUM(BR21:BT21,BQ21)/SUM(BM21:BO21,BL21)-1</f>
        <v>8.2126359442580066E-2</v>
      </c>
      <c r="BU26" s="305"/>
      <c r="BV26" s="333">
        <f>SUM(BV21,BR21:BT21)/SUM(BQ21,BM21:BO22)-1</f>
        <v>8.4863870644355854E-2</v>
      </c>
      <c r="BW26" s="333">
        <f>SUM(BV21:BW21,BS21:BT21)/SUM(BQ21:BR21,BN21:BO21)-1</f>
        <v>8.4748815258157251E-2</v>
      </c>
      <c r="BX26" s="333">
        <f>SUM(BV21:BX21,BT21)/SUM(BQ21:BS21,BO21)-1</f>
        <v>7.5160087026295841E-2</v>
      </c>
      <c r="BY26" s="333">
        <f>SUM(BW21:BY21,BV21)/SUM(BR21:BT21,BQ21)-1</f>
        <v>7.4616718780186053E-2</v>
      </c>
      <c r="BZ26" s="305"/>
      <c r="CA26" s="333">
        <f>SUM(CA21,BW21:BY21)/SUM(BV21,BR21:BT22)-1</f>
        <v>7.0781805359779515E-2</v>
      </c>
      <c r="CB26" s="333">
        <f>SUM(CA21:CB21,BX21:BY21)/SUM(BV21:BW21,BS21:BT21)-1</f>
        <v>6.8667020449483696E-2</v>
      </c>
      <c r="CC26" s="333">
        <f>SUM(CA21:CC21,BY21)/SUM(BV21:BX21,BT21)-1</f>
        <v>6.4844799903692296E-2</v>
      </c>
      <c r="CD26" s="333">
        <f>SUM(CB21:CD21,CA21)/SUM(BW21:BY21,BV21)-1</f>
        <v>6.4709967865604012E-2</v>
      </c>
      <c r="CE26" s="276"/>
    </row>
    <row r="27" spans="2:83" s="121" customFormat="1" ht="13.15" thickBot="1">
      <c r="B27" s="197" t="s">
        <v>167</v>
      </c>
      <c r="C27" s="284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A27" s="285"/>
      <c r="AB27" s="285"/>
      <c r="AC27" s="285"/>
      <c r="AD27" s="285"/>
      <c r="AE27" s="285"/>
      <c r="AF27" s="285"/>
      <c r="AG27" s="285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285"/>
      <c r="AZ27" s="285"/>
      <c r="BA27" s="285"/>
      <c r="BB27" s="285"/>
      <c r="BC27" s="285"/>
      <c r="BD27" s="285"/>
      <c r="BE27" s="285"/>
      <c r="BF27" s="285"/>
      <c r="BG27" s="285"/>
      <c r="BH27" s="285"/>
      <c r="BI27" s="285"/>
      <c r="BJ27" s="285"/>
      <c r="BK27" s="285"/>
      <c r="BL27" s="285"/>
      <c r="BM27" s="285"/>
      <c r="BN27" s="285"/>
      <c r="BO27" s="285"/>
      <c r="BP27" s="285"/>
      <c r="BQ27" s="285"/>
      <c r="BR27" s="285"/>
      <c r="BS27" s="285"/>
      <c r="BT27" s="285"/>
      <c r="BU27" s="285"/>
      <c r="BV27" s="285"/>
      <c r="BW27" s="285"/>
      <c r="BX27" s="285"/>
      <c r="BY27" s="285"/>
      <c r="BZ27" s="285"/>
      <c r="CA27" s="285"/>
      <c r="CB27" s="285"/>
      <c r="CC27" s="285"/>
      <c r="CD27" s="285"/>
      <c r="CE27" s="285"/>
    </row>
    <row r="28" spans="2:83" s="121" customFormat="1" ht="12.75">
      <c r="B28" s="654"/>
      <c r="C28" s="654"/>
      <c r="D28" s="655"/>
      <c r="E28" s="655"/>
      <c r="F28" s="655"/>
      <c r="G28" s="655"/>
      <c r="H28" s="655"/>
      <c r="I28" s="655"/>
      <c r="J28" s="655"/>
      <c r="K28" s="655"/>
      <c r="L28" s="655"/>
      <c r="M28" s="655"/>
      <c r="N28" s="655"/>
      <c r="O28" s="655"/>
      <c r="P28" s="655"/>
      <c r="Q28" s="655"/>
      <c r="R28" s="655"/>
      <c r="S28" s="655"/>
      <c r="T28" s="655"/>
      <c r="U28" s="655"/>
      <c r="V28" s="655"/>
      <c r="W28" s="655"/>
      <c r="X28" s="655"/>
      <c r="Y28" s="655"/>
      <c r="Z28" s="655"/>
      <c r="AA28" s="655"/>
      <c r="AB28" s="655"/>
      <c r="AC28" s="655"/>
      <c r="AD28" s="655"/>
      <c r="AE28" s="655"/>
      <c r="AF28" s="655"/>
      <c r="AG28" s="655"/>
      <c r="AH28" s="655"/>
      <c r="AI28" s="655"/>
      <c r="AJ28" s="655"/>
      <c r="AK28" s="655"/>
      <c r="AL28" s="655"/>
      <c r="AM28" s="655"/>
      <c r="AN28" s="655"/>
      <c r="AO28" s="655"/>
      <c r="AP28" s="655"/>
      <c r="AQ28" s="655"/>
      <c r="AR28" s="655"/>
      <c r="AS28" s="655"/>
      <c r="AT28" s="655"/>
      <c r="AU28" s="655"/>
      <c r="AV28" s="655"/>
      <c r="AW28" s="655"/>
      <c r="AX28" s="655"/>
      <c r="AY28" s="655"/>
      <c r="AZ28" s="655"/>
      <c r="BA28" s="655"/>
      <c r="BB28" s="655"/>
      <c r="BC28" s="655"/>
      <c r="BD28" s="655"/>
      <c r="BE28" s="655"/>
      <c r="BF28" s="655"/>
      <c r="BG28" s="655"/>
      <c r="BH28" s="655"/>
      <c r="BI28" s="655"/>
      <c r="BJ28" s="655"/>
      <c r="BK28" s="655"/>
      <c r="BL28" s="655"/>
      <c r="BM28" s="655"/>
      <c r="BN28" s="655"/>
      <c r="BO28" s="655"/>
      <c r="BP28" s="655"/>
      <c r="BQ28" s="655"/>
      <c r="BR28" s="655"/>
      <c r="BS28" s="655"/>
      <c r="BT28" s="655"/>
      <c r="BU28" s="655"/>
      <c r="BV28" s="655"/>
      <c r="BW28" s="655"/>
      <c r="BX28" s="655"/>
      <c r="BY28" s="655"/>
      <c r="BZ28" s="655"/>
      <c r="CA28" s="655"/>
      <c r="CB28" s="655"/>
      <c r="CC28" s="655"/>
      <c r="CD28" s="655"/>
      <c r="CE28" s="655"/>
    </row>
    <row r="29" spans="2:83" hidden="1" outlineLevel="1">
      <c r="BF29" s="793"/>
      <c r="BG29" s="793"/>
      <c r="BH29" s="793"/>
      <c r="BI29" s="793"/>
      <c r="BJ29" s="793"/>
      <c r="BK29" s="793"/>
      <c r="BL29" s="793"/>
      <c r="BM29" s="793"/>
      <c r="BN29" s="793"/>
      <c r="BO29" s="793"/>
      <c r="BP29" s="793"/>
      <c r="BQ29" s="793"/>
      <c r="BR29" s="793"/>
      <c r="BS29" s="793"/>
      <c r="BT29" s="793"/>
      <c r="BU29" s="793"/>
      <c r="BV29" s="793"/>
      <c r="BW29" s="793"/>
      <c r="BX29" s="793"/>
      <c r="BY29" s="793"/>
      <c r="BZ29" s="793"/>
      <c r="CA29" s="793"/>
      <c r="CB29" s="793"/>
      <c r="CC29" s="793"/>
      <c r="CD29" s="793"/>
      <c r="CE29" s="793"/>
    </row>
    <row r="30" spans="2:83" ht="14.65" hidden="1" outlineLevel="2" thickBot="1">
      <c r="B30" s="122"/>
      <c r="C30" s="125"/>
      <c r="D30" s="250"/>
      <c r="E30" s="250"/>
      <c r="F30" s="250"/>
      <c r="G30" s="250"/>
      <c r="H30" s="251"/>
      <c r="I30" s="250"/>
      <c r="J30" s="250"/>
      <c r="K30" s="250"/>
      <c r="L30" s="250"/>
      <c r="M30" s="251"/>
      <c r="N30" s="250"/>
      <c r="O30" s="250"/>
      <c r="P30" s="250"/>
      <c r="Q30" s="250"/>
      <c r="R30" s="251"/>
      <c r="S30" s="251"/>
      <c r="T30" s="251"/>
      <c r="U30" s="251"/>
      <c r="V30" s="251"/>
      <c r="W30" s="251"/>
      <c r="X30" s="251"/>
      <c r="Y30" s="251"/>
      <c r="Z30" s="251"/>
      <c r="AA30" s="251"/>
      <c r="AB30" s="251"/>
      <c r="AC30" s="251"/>
      <c r="AD30" s="251"/>
      <c r="AE30" s="251"/>
      <c r="AF30" s="251"/>
      <c r="AG30" s="251"/>
      <c r="AH30" s="251"/>
      <c r="AI30" s="251"/>
      <c r="AJ30" s="251"/>
      <c r="AK30" s="251"/>
      <c r="AL30" s="251"/>
      <c r="AM30" s="251"/>
      <c r="AN30" s="251"/>
      <c r="AO30" s="251"/>
      <c r="AP30" s="251"/>
      <c r="AQ30" s="251"/>
      <c r="AR30" s="251"/>
      <c r="AS30" s="251"/>
      <c r="AT30" s="251"/>
      <c r="AU30" s="251"/>
      <c r="AV30" s="251"/>
      <c r="AW30" s="251"/>
      <c r="AX30" s="251"/>
      <c r="AY30" s="251"/>
      <c r="AZ30" s="251"/>
      <c r="BA30" s="251"/>
      <c r="BB30" s="251"/>
      <c r="BC30" s="251"/>
      <c r="BD30" s="251"/>
      <c r="BE30" s="251"/>
      <c r="BF30" s="794"/>
      <c r="BG30" s="794"/>
      <c r="BH30" s="794"/>
      <c r="BI30" s="794"/>
      <c r="BJ30" s="794"/>
      <c r="BK30" s="794"/>
      <c r="BL30" s="794"/>
      <c r="BM30" s="794"/>
      <c r="BN30" s="794"/>
      <c r="BO30" s="794"/>
      <c r="BP30" s="794"/>
      <c r="BQ30" s="794"/>
      <c r="BR30" s="794"/>
      <c r="BS30" s="794"/>
      <c r="BT30" s="794"/>
      <c r="BU30" s="794"/>
      <c r="BV30" s="794"/>
      <c r="BW30" s="794"/>
      <c r="BX30" s="794"/>
      <c r="BY30" s="794"/>
      <c r="BZ30" s="794"/>
      <c r="CA30" s="794"/>
      <c r="CB30" s="794"/>
      <c r="CC30" s="794"/>
      <c r="CD30" s="794"/>
      <c r="CE30" s="794"/>
    </row>
    <row r="31" spans="2:83" ht="17.649999999999999" hidden="1" outlineLevel="2">
      <c r="B31" s="263" t="s">
        <v>171</v>
      </c>
      <c r="C31" s="123"/>
      <c r="D31" s="252"/>
      <c r="E31" s="252"/>
      <c r="F31" s="252"/>
      <c r="G31" s="253"/>
      <c r="H31" s="254"/>
      <c r="I31" s="252"/>
      <c r="J31" s="252"/>
      <c r="K31" s="252"/>
      <c r="L31" s="253"/>
      <c r="M31" s="254"/>
      <c r="N31" s="252"/>
      <c r="O31" s="252"/>
      <c r="P31" s="252"/>
      <c r="Q31" s="253"/>
      <c r="R31" s="254"/>
      <c r="S31" s="252"/>
      <c r="T31" s="252"/>
      <c r="U31" s="252"/>
      <c r="V31" s="255"/>
      <c r="W31" s="254"/>
      <c r="X31" s="252"/>
      <c r="Y31" s="252"/>
      <c r="Z31" s="252"/>
      <c r="AA31" s="252"/>
      <c r="AB31" s="256"/>
      <c r="AC31" s="252"/>
      <c r="AD31" s="252"/>
      <c r="AE31" s="252"/>
      <c r="AF31" s="252"/>
      <c r="AG31" s="256"/>
      <c r="AH31" s="252"/>
      <c r="AI31" s="252"/>
      <c r="AJ31" s="252"/>
      <c r="AK31" s="252"/>
      <c r="AL31" s="256"/>
      <c r="AM31" s="252"/>
      <c r="AN31" s="252"/>
      <c r="AO31" s="252"/>
      <c r="AP31" s="252"/>
      <c r="AQ31" s="256"/>
      <c r="AR31" s="252"/>
      <c r="AS31" s="252"/>
      <c r="AT31" s="252"/>
      <c r="AU31" s="252"/>
      <c r="AV31" s="256"/>
      <c r="AW31" s="252"/>
      <c r="AX31" s="252"/>
      <c r="AY31" s="252"/>
      <c r="AZ31" s="252"/>
      <c r="BA31" s="256"/>
      <c r="BB31" s="252"/>
      <c r="BC31" s="252"/>
      <c r="BD31" s="252"/>
      <c r="BE31" s="252"/>
      <c r="BF31" s="256"/>
      <c r="BG31" s="252"/>
      <c r="BH31" s="252"/>
      <c r="BI31" s="252"/>
      <c r="BJ31" s="252"/>
      <c r="BK31" s="256"/>
      <c r="BL31" s="795"/>
      <c r="BM31" s="795"/>
      <c r="BN31" s="795"/>
      <c r="BO31" s="795"/>
      <c r="BP31" s="256"/>
      <c r="BQ31" s="795"/>
      <c r="BR31" s="795"/>
      <c r="BS31" s="795"/>
      <c r="BT31" s="795"/>
      <c r="BU31" s="256"/>
      <c r="BV31" s="795"/>
      <c r="BW31" s="795"/>
      <c r="BX31" s="795"/>
      <c r="BY31" s="795"/>
      <c r="BZ31" s="256"/>
      <c r="CA31" s="795"/>
      <c r="CB31" s="795"/>
      <c r="CC31" s="795"/>
      <c r="CD31" s="795"/>
      <c r="CE31" s="256"/>
    </row>
    <row r="32" spans="2:83" hidden="1" outlineLevel="2">
      <c r="B32" s="273" t="s">
        <v>292</v>
      </c>
      <c r="C32" s="273"/>
      <c r="D32" s="257" t="str">
        <f>+D4</f>
        <v>2012A</v>
      </c>
      <c r="E32" s="257"/>
      <c r="F32" s="258"/>
      <c r="G32" s="258"/>
      <c r="H32" s="259" t="str">
        <f>+H4</f>
        <v>Year</v>
      </c>
      <c r="I32" s="257" t="str">
        <f>+I4</f>
        <v>2013A</v>
      </c>
      <c r="J32" s="257"/>
      <c r="K32" s="258"/>
      <c r="L32" s="258"/>
      <c r="M32" s="259" t="str">
        <f>+M4</f>
        <v>Year</v>
      </c>
      <c r="N32" s="257" t="str">
        <f>+N4</f>
        <v>2014A</v>
      </c>
      <c r="O32" s="257"/>
      <c r="P32" s="258"/>
      <c r="Q32" s="258"/>
      <c r="R32" s="528" t="str">
        <f>+R4</f>
        <v>Year</v>
      </c>
      <c r="S32" s="257" t="str">
        <f>+S4</f>
        <v>2015A</v>
      </c>
      <c r="T32" s="257"/>
      <c r="U32" s="258"/>
      <c r="V32" s="258"/>
      <c r="W32" s="528" t="str">
        <f>+W4</f>
        <v>Year</v>
      </c>
      <c r="X32" s="257" t="str">
        <f>+X4</f>
        <v>2016A</v>
      </c>
      <c r="Y32" s="257"/>
      <c r="Z32" s="258"/>
      <c r="AA32" s="258"/>
      <c r="AB32" s="528" t="str">
        <f>+AB4</f>
        <v>Year</v>
      </c>
      <c r="AC32" s="257" t="str">
        <f>+AC4</f>
        <v>2017A</v>
      </c>
      <c r="AD32" s="257"/>
      <c r="AE32" s="258"/>
      <c r="AF32" s="258"/>
      <c r="AG32" s="528" t="str">
        <f>+AG4</f>
        <v>Year</v>
      </c>
      <c r="AH32" s="257" t="str">
        <f>+AH4</f>
        <v>2018A</v>
      </c>
      <c r="AI32" s="257"/>
      <c r="AJ32" s="258"/>
      <c r="AK32" s="258"/>
      <c r="AL32" s="528" t="str">
        <f>+AL4</f>
        <v>Year</v>
      </c>
      <c r="AM32" s="257" t="str">
        <f>+AM4</f>
        <v>2019A</v>
      </c>
      <c r="AN32" s="257"/>
      <c r="AO32" s="258"/>
      <c r="AP32" s="258"/>
      <c r="AQ32" s="528" t="str">
        <f>+AQ4</f>
        <v>Year</v>
      </c>
      <c r="AR32" s="257" t="str">
        <f>+AR4</f>
        <v>2020A</v>
      </c>
      <c r="AS32" s="257"/>
      <c r="AT32" s="258"/>
      <c r="AU32" s="258"/>
      <c r="AV32" s="528" t="str">
        <f>+AV4</f>
        <v>Year</v>
      </c>
      <c r="AW32" s="257" t="str">
        <f>+AW4</f>
        <v>2021A</v>
      </c>
      <c r="AX32" s="257"/>
      <c r="AY32" s="258"/>
      <c r="AZ32" s="258"/>
      <c r="BA32" s="528" t="str">
        <f>+BA4</f>
        <v>Year</v>
      </c>
      <c r="BB32" s="257" t="str">
        <f>+BB4</f>
        <v>2022A</v>
      </c>
      <c r="BC32" s="257"/>
      <c r="BD32" s="258"/>
      <c r="BE32" s="258"/>
      <c r="BF32" s="528" t="str">
        <f>+BF4</f>
        <v>Year</v>
      </c>
      <c r="BG32" s="257" t="str">
        <f>+BG4</f>
        <v>2023A</v>
      </c>
      <c r="BH32" s="257"/>
      <c r="BI32" s="258"/>
      <c r="BJ32" s="258"/>
      <c r="BK32" s="528" t="str">
        <f>+BK4</f>
        <v>Year</v>
      </c>
      <c r="BL32" s="257" t="str">
        <f>+BL4</f>
        <v>2024A</v>
      </c>
      <c r="BM32" s="257"/>
      <c r="BN32" s="258"/>
      <c r="BO32" s="258"/>
      <c r="BP32" s="528" t="str">
        <f>+BP4</f>
        <v>Year</v>
      </c>
      <c r="BQ32" s="257" t="str">
        <f>+BQ4</f>
        <v>2025A</v>
      </c>
      <c r="BR32" s="257"/>
      <c r="BS32" s="258"/>
      <c r="BT32" s="258"/>
      <c r="BU32" s="528" t="str">
        <f>+BU4</f>
        <v>Year</v>
      </c>
      <c r="BV32" s="257" t="str">
        <f>+BV4</f>
        <v>2026E</v>
      </c>
      <c r="BW32" s="257"/>
      <c r="BX32" s="258"/>
      <c r="BY32" s="258"/>
      <c r="BZ32" s="528" t="str">
        <f>+BZ4</f>
        <v>Year</v>
      </c>
      <c r="CA32" s="257" t="str">
        <f>+CA4</f>
        <v>2027E</v>
      </c>
      <c r="CB32" s="257"/>
      <c r="CC32" s="258"/>
      <c r="CD32" s="258"/>
      <c r="CE32" s="528" t="str">
        <f>+CE4</f>
        <v>Year</v>
      </c>
    </row>
    <row r="33" spans="1:83" hidden="1" outlineLevel="2">
      <c r="B33" s="274"/>
      <c r="C33" s="260"/>
      <c r="D33" s="260" t="str">
        <f t="shared" ref="D33:AA33" si="156">+D5</f>
        <v>1Q-Mar 12A</v>
      </c>
      <c r="E33" s="260" t="str">
        <f t="shared" si="156"/>
        <v>2Q-Jun 12A</v>
      </c>
      <c r="F33" s="260" t="str">
        <f t="shared" si="156"/>
        <v>3Q-Sep 12A</v>
      </c>
      <c r="G33" s="260" t="str">
        <f t="shared" si="156"/>
        <v>4Q-Dec 12A</v>
      </c>
      <c r="H33" s="260" t="str">
        <f t="shared" si="156"/>
        <v>2012A</v>
      </c>
      <c r="I33" s="260" t="str">
        <f t="shared" si="156"/>
        <v>1Q-Mar 13A</v>
      </c>
      <c r="J33" s="260" t="str">
        <f t="shared" si="156"/>
        <v>2Q-Jun 13A</v>
      </c>
      <c r="K33" s="260" t="str">
        <f t="shared" si="156"/>
        <v>3Q-Sep 13A</v>
      </c>
      <c r="L33" s="260" t="str">
        <f t="shared" si="156"/>
        <v>4Q-Dec 13A</v>
      </c>
      <c r="M33" s="260" t="str">
        <f t="shared" si="156"/>
        <v>2013A</v>
      </c>
      <c r="N33" s="260" t="str">
        <f t="shared" si="156"/>
        <v>1Q-Mar 14A</v>
      </c>
      <c r="O33" s="260" t="str">
        <f t="shared" si="156"/>
        <v>2Q-Jun 14A</v>
      </c>
      <c r="P33" s="260" t="str">
        <f t="shared" si="156"/>
        <v>3Q-Sep 14A</v>
      </c>
      <c r="Q33" s="260" t="str">
        <f t="shared" si="156"/>
        <v>4Q-Dec 14A</v>
      </c>
      <c r="R33" s="528" t="str">
        <f t="shared" si="156"/>
        <v>2014A</v>
      </c>
      <c r="S33" s="260" t="str">
        <f t="shared" si="156"/>
        <v>1Q-Mar 15A</v>
      </c>
      <c r="T33" s="260" t="str">
        <f t="shared" si="156"/>
        <v>2Q-Jun 15A</v>
      </c>
      <c r="U33" s="260" t="str">
        <f t="shared" si="156"/>
        <v>3Q-Sep 15A</v>
      </c>
      <c r="V33" s="260" t="str">
        <f t="shared" si="156"/>
        <v>4Q-Dec 15A</v>
      </c>
      <c r="W33" s="528" t="str">
        <f t="shared" si="156"/>
        <v>2015A</v>
      </c>
      <c r="X33" s="260" t="str">
        <f t="shared" si="156"/>
        <v>1Q-Mar 16A</v>
      </c>
      <c r="Y33" s="260" t="str">
        <f t="shared" si="156"/>
        <v>2Q-Jun 16A</v>
      </c>
      <c r="Z33" s="260" t="str">
        <f t="shared" si="156"/>
        <v>3Q-Sep 16A</v>
      </c>
      <c r="AA33" s="260" t="str">
        <f t="shared" si="156"/>
        <v>4Q-Dec 16A</v>
      </c>
      <c r="AB33" s="528" t="str">
        <f>+AB5</f>
        <v>2016A</v>
      </c>
      <c r="AC33" s="260" t="str">
        <f t="shared" ref="AC33:AL33" si="157">+AC5</f>
        <v>1Q-Mar 17A</v>
      </c>
      <c r="AD33" s="260" t="str">
        <f t="shared" si="157"/>
        <v>2Q-Jun 17A</v>
      </c>
      <c r="AE33" s="260" t="str">
        <f t="shared" si="157"/>
        <v>3Q-Sep 17A</v>
      </c>
      <c r="AF33" s="260" t="str">
        <f t="shared" si="157"/>
        <v>4Q-Dec 17A</v>
      </c>
      <c r="AG33" s="528" t="str">
        <f t="shared" si="157"/>
        <v>2017A</v>
      </c>
      <c r="AH33" s="260" t="str">
        <f t="shared" si="157"/>
        <v>1Q-Mar 18A</v>
      </c>
      <c r="AI33" s="260" t="str">
        <f t="shared" si="157"/>
        <v>2Q-Jun 18A</v>
      </c>
      <c r="AJ33" s="260" t="str">
        <f t="shared" si="157"/>
        <v>3Q-Sep 18A</v>
      </c>
      <c r="AK33" s="260" t="str">
        <f t="shared" si="157"/>
        <v>4Q-Dec 18A</v>
      </c>
      <c r="AL33" s="528" t="str">
        <f t="shared" si="157"/>
        <v>2018A</v>
      </c>
      <c r="AM33" s="260" t="str">
        <f t="shared" ref="AM33:AQ33" si="158">+AM5</f>
        <v>1Q-Mar 19A</v>
      </c>
      <c r="AN33" s="260" t="str">
        <f t="shared" si="158"/>
        <v>2Q-Jun 19A</v>
      </c>
      <c r="AO33" s="260" t="str">
        <f t="shared" si="158"/>
        <v>3Q-Sep 19A</v>
      </c>
      <c r="AP33" s="260" t="str">
        <f t="shared" si="158"/>
        <v>4Q-Dec 19A</v>
      </c>
      <c r="AQ33" s="528" t="str">
        <f t="shared" si="158"/>
        <v>2019A</v>
      </c>
      <c r="AR33" s="260" t="str">
        <f t="shared" ref="AR33:AV33" si="159">+AR5</f>
        <v>1Q-Mar 20A</v>
      </c>
      <c r="AS33" s="260" t="str">
        <f t="shared" si="159"/>
        <v>2Q-Jun 20A</v>
      </c>
      <c r="AT33" s="260" t="str">
        <f t="shared" si="159"/>
        <v>3Q-Sep 20A</v>
      </c>
      <c r="AU33" s="260" t="str">
        <f t="shared" si="159"/>
        <v>4Q-Dec 20A</v>
      </c>
      <c r="AV33" s="528" t="str">
        <f t="shared" si="159"/>
        <v>2020A</v>
      </c>
      <c r="AW33" s="260" t="str">
        <f t="shared" ref="AW33:BA33" si="160">+AW5</f>
        <v>1Q-Mar 21A</v>
      </c>
      <c r="AX33" s="260" t="str">
        <f t="shared" si="160"/>
        <v>2Q-Jun 21A</v>
      </c>
      <c r="AY33" s="260" t="str">
        <f t="shared" si="160"/>
        <v>3Q-Sep 21A</v>
      </c>
      <c r="AZ33" s="260" t="str">
        <f t="shared" si="160"/>
        <v>4Q-Dec 21A</v>
      </c>
      <c r="BA33" s="528" t="str">
        <f t="shared" si="160"/>
        <v>2021A</v>
      </c>
      <c r="BB33" s="260" t="str">
        <f t="shared" ref="BB33:BF33" si="161">+BB5</f>
        <v>1Q-Mar 22A</v>
      </c>
      <c r="BC33" s="260" t="str">
        <f t="shared" si="161"/>
        <v>2Q-Jun 22A</v>
      </c>
      <c r="BD33" s="260" t="str">
        <f t="shared" si="161"/>
        <v>3Q-Sep 22A</v>
      </c>
      <c r="BE33" s="260" t="str">
        <f t="shared" si="161"/>
        <v>4Q-Dec 22A</v>
      </c>
      <c r="BF33" s="528" t="str">
        <f t="shared" si="161"/>
        <v>2022A</v>
      </c>
      <c r="BG33" s="260" t="str">
        <f t="shared" ref="BG33:BK33" si="162">+BG5</f>
        <v>1Q-Mar 23A</v>
      </c>
      <c r="BH33" s="260" t="str">
        <f t="shared" si="162"/>
        <v>2Q-Jun 23A</v>
      </c>
      <c r="BI33" s="260" t="str">
        <f t="shared" si="162"/>
        <v>3Q-Sep 23A</v>
      </c>
      <c r="BJ33" s="260" t="str">
        <f t="shared" si="162"/>
        <v>4Q-Dec 23A</v>
      </c>
      <c r="BK33" s="528" t="str">
        <f t="shared" si="162"/>
        <v>2023A</v>
      </c>
      <c r="BL33" s="260" t="str">
        <f t="shared" ref="BL33:BP33" si="163">+BL5</f>
        <v>1Q-Mar 24A</v>
      </c>
      <c r="BM33" s="260" t="str">
        <f t="shared" si="163"/>
        <v>2Q-Jun 24A</v>
      </c>
      <c r="BN33" s="260" t="str">
        <f t="shared" si="163"/>
        <v>3Q-Sep 24A</v>
      </c>
      <c r="BO33" s="260" t="str">
        <f t="shared" si="163"/>
        <v>4Q-Dec 24A</v>
      </c>
      <c r="BP33" s="528" t="str">
        <f t="shared" si="163"/>
        <v>2024A</v>
      </c>
      <c r="BQ33" s="260" t="str">
        <f t="shared" ref="BQ33:BU33" si="164">+BQ5</f>
        <v>1Q-Mar 25A</v>
      </c>
      <c r="BR33" s="260" t="str">
        <f t="shared" si="164"/>
        <v>2Q-Jun 25A</v>
      </c>
      <c r="BS33" s="260" t="str">
        <f t="shared" si="164"/>
        <v>3Q-Sep 25A</v>
      </c>
      <c r="BT33" s="260" t="str">
        <f t="shared" si="164"/>
        <v>4Q-Dec 25A</v>
      </c>
      <c r="BU33" s="528" t="str">
        <f t="shared" si="164"/>
        <v>2025A</v>
      </c>
      <c r="BV33" s="260" t="str">
        <f t="shared" ref="BV33:BZ33" si="165">+BV5</f>
        <v>1Q-Mar 26E</v>
      </c>
      <c r="BW33" s="260" t="str">
        <f t="shared" si="165"/>
        <v>2Q-Jun 26E</v>
      </c>
      <c r="BX33" s="260" t="str">
        <f t="shared" si="165"/>
        <v>3Q-Sep 26E</v>
      </c>
      <c r="BY33" s="260" t="str">
        <f t="shared" si="165"/>
        <v>4Q-Dec 26E</v>
      </c>
      <c r="BZ33" s="528" t="str">
        <f t="shared" si="165"/>
        <v>2026E</v>
      </c>
      <c r="CA33" s="260" t="str">
        <f t="shared" ref="CA33:CE33" si="166">+CA5</f>
        <v>1Q-Mar 27E</v>
      </c>
      <c r="CB33" s="260" t="str">
        <f t="shared" si="166"/>
        <v>2Q-Jun 27E</v>
      </c>
      <c r="CC33" s="260" t="str">
        <f t="shared" si="166"/>
        <v>3Q-Sep 27E</v>
      </c>
      <c r="CD33" s="260" t="str">
        <f t="shared" si="166"/>
        <v>4Q-Dec 27E</v>
      </c>
      <c r="CE33" s="528" t="str">
        <f t="shared" si="166"/>
        <v>2027E</v>
      </c>
    </row>
    <row r="34" spans="1:83" hidden="1" outlineLevel="2">
      <c r="B34" s="274" t="s">
        <v>203</v>
      </c>
      <c r="C34" s="275"/>
      <c r="D34" s="276"/>
      <c r="E34" s="276"/>
      <c r="F34" s="276"/>
      <c r="G34" s="276"/>
      <c r="H34" s="276"/>
      <c r="I34" s="276"/>
      <c r="J34" s="276"/>
      <c r="K34" s="276"/>
      <c r="L34" s="276"/>
      <c r="M34" s="276"/>
      <c r="N34" s="276"/>
      <c r="O34" s="276"/>
      <c r="P34" s="276"/>
      <c r="Q34" s="276"/>
      <c r="R34" s="529"/>
      <c r="S34" s="276"/>
      <c r="T34" s="276"/>
      <c r="U34" s="276"/>
      <c r="V34" s="276"/>
      <c r="W34" s="529"/>
      <c r="X34" s="276"/>
      <c r="Y34" s="276"/>
      <c r="Z34" s="276"/>
      <c r="AA34" s="276"/>
      <c r="AB34" s="529"/>
      <c r="AC34" s="276"/>
      <c r="AD34" s="276"/>
      <c r="AE34" s="276"/>
      <c r="AF34" s="276"/>
      <c r="AG34" s="529"/>
      <c r="AH34" s="276"/>
      <c r="AI34" s="276"/>
      <c r="AJ34" s="276"/>
      <c r="AK34" s="276"/>
      <c r="AL34" s="529"/>
      <c r="AM34" s="276"/>
      <c r="AN34" s="276"/>
      <c r="AO34" s="276"/>
      <c r="AP34" s="276"/>
      <c r="AQ34" s="529"/>
      <c r="AR34" s="276"/>
      <c r="AS34" s="276"/>
      <c r="AT34" s="276"/>
      <c r="AU34" s="276"/>
      <c r="AV34" s="529"/>
      <c r="AW34" s="276"/>
      <c r="AX34" s="276"/>
      <c r="AY34" s="276"/>
      <c r="AZ34" s="276"/>
      <c r="BA34" s="529"/>
      <c r="BB34" s="276"/>
      <c r="BC34" s="276"/>
      <c r="BD34" s="276"/>
      <c r="BE34" s="276"/>
      <c r="BF34" s="529"/>
      <c r="BG34" s="276"/>
      <c r="BH34" s="276"/>
      <c r="BI34" s="276"/>
      <c r="BJ34" s="276"/>
      <c r="BK34" s="529"/>
      <c r="BL34" s="276"/>
      <c r="BM34" s="276"/>
      <c r="BN34" s="276"/>
      <c r="BO34" s="276"/>
      <c r="BP34" s="529"/>
      <c r="BQ34" s="276"/>
      <c r="BR34" s="276"/>
      <c r="BS34" s="276"/>
      <c r="BT34" s="276"/>
      <c r="BU34" s="529"/>
      <c r="BV34" s="276"/>
      <c r="BW34" s="276"/>
      <c r="BX34" s="276"/>
      <c r="BY34" s="276"/>
      <c r="BZ34" s="529"/>
      <c r="CA34" s="276"/>
      <c r="CB34" s="276"/>
      <c r="CC34" s="276"/>
      <c r="CD34" s="276"/>
      <c r="CE34" s="529"/>
    </row>
    <row r="35" spans="1:83" hidden="1" outlineLevel="2">
      <c r="B35" s="274"/>
      <c r="C35" s="275"/>
      <c r="D35" s="276"/>
      <c r="E35" s="276"/>
      <c r="F35" s="276"/>
      <c r="G35" s="276"/>
      <c r="H35" s="276"/>
      <c r="I35" s="276"/>
      <c r="J35" s="276"/>
      <c r="K35" s="276"/>
      <c r="L35" s="276"/>
      <c r="M35" s="276"/>
      <c r="N35" s="276"/>
      <c r="O35" s="276"/>
      <c r="P35" s="276"/>
      <c r="Q35" s="276"/>
      <c r="R35" s="529"/>
      <c r="S35" s="276"/>
      <c r="T35" s="276"/>
      <c r="U35" s="276"/>
      <c r="V35" s="276"/>
      <c r="W35" s="529"/>
      <c r="X35" s="276"/>
      <c r="Y35" s="276"/>
      <c r="Z35" s="276"/>
      <c r="AA35" s="276"/>
      <c r="AB35" s="529"/>
      <c r="AC35" s="280"/>
      <c r="AD35" s="280"/>
      <c r="AE35" s="280"/>
      <c r="AF35" s="280"/>
      <c r="AG35" s="530"/>
      <c r="AH35" s="280"/>
      <c r="AI35" s="280"/>
      <c r="AJ35" s="280"/>
      <c r="AK35" s="280"/>
      <c r="AL35" s="530"/>
      <c r="AM35" s="280"/>
      <c r="AN35" s="280"/>
      <c r="AO35" s="280"/>
      <c r="AP35" s="280"/>
      <c r="AQ35" s="530"/>
      <c r="AR35" s="280"/>
      <c r="AS35" s="280"/>
      <c r="AT35" s="280"/>
      <c r="AU35" s="280"/>
      <c r="AV35" s="530"/>
      <c r="AW35" s="280"/>
      <c r="AX35" s="280"/>
      <c r="AY35" s="280"/>
      <c r="AZ35" s="280"/>
      <c r="BA35" s="530"/>
      <c r="BB35" s="280"/>
      <c r="BC35" s="280"/>
      <c r="BD35" s="280"/>
      <c r="BE35" s="280"/>
      <c r="BF35" s="530"/>
      <c r="BG35" s="280"/>
      <c r="BH35" s="280"/>
      <c r="BI35" s="280"/>
      <c r="BJ35" s="280"/>
      <c r="BK35" s="530"/>
      <c r="BL35" s="280"/>
      <c r="BM35" s="280"/>
      <c r="BN35" s="280"/>
      <c r="BO35" s="280"/>
      <c r="BP35" s="530"/>
      <c r="BQ35" s="280"/>
      <c r="BR35" s="280"/>
      <c r="BS35" s="280"/>
      <c r="BT35" s="280"/>
      <c r="BU35" s="530"/>
      <c r="BV35" s="280"/>
      <c r="BW35" s="280"/>
      <c r="BX35" s="280"/>
      <c r="BY35" s="280"/>
      <c r="BZ35" s="530"/>
      <c r="CA35" s="280"/>
      <c r="CB35" s="280"/>
      <c r="CC35" s="280"/>
      <c r="CD35" s="280"/>
      <c r="CE35" s="530"/>
    </row>
    <row r="36" spans="1:83" hidden="1" outlineLevel="2">
      <c r="B36" s="273" t="s">
        <v>160</v>
      </c>
      <c r="C36" s="275"/>
      <c r="D36" s="384"/>
      <c r="E36" s="384"/>
      <c r="F36" s="384"/>
      <c r="G36" s="384"/>
      <c r="H36" s="384"/>
      <c r="I36" s="384"/>
      <c r="J36" s="384"/>
      <c r="K36" s="384"/>
      <c r="L36" s="384"/>
      <c r="M36" s="384"/>
      <c r="N36" s="384"/>
      <c r="O36" s="384"/>
      <c r="P36" s="384"/>
      <c r="Q36" s="384"/>
      <c r="R36" s="539"/>
      <c r="S36" s="384"/>
      <c r="T36" s="384"/>
      <c r="U36" s="384"/>
      <c r="V36" s="384"/>
      <c r="W36" s="539"/>
      <c r="X36" s="384">
        <f>+IS!X9</f>
        <v>46248</v>
      </c>
      <c r="Y36" s="384">
        <f>+IS!Y9</f>
        <v>48466</v>
      </c>
      <c r="Z36" s="384">
        <f>+IS!Z9</f>
        <v>50987</v>
      </c>
      <c r="AA36" s="384">
        <f>+IS!AA9</f>
        <v>52224</v>
      </c>
      <c r="AB36" s="539">
        <f>+IS!AB9</f>
        <v>197925</v>
      </c>
      <c r="AC36" s="384">
        <f>+IS!AC9</f>
        <v>53121</v>
      </c>
      <c r="AD36" s="384">
        <f>+IS!AD9</f>
        <v>55302</v>
      </c>
      <c r="AE36" s="384">
        <f>+IS!AE9</f>
        <v>59490</v>
      </c>
      <c r="AF36" s="384">
        <f>+IS!AF9</f>
        <v>62915</v>
      </c>
      <c r="AG36" s="539">
        <f>+IS!AG9</f>
        <v>230828</v>
      </c>
      <c r="AH36" s="384">
        <f>+IS!AH9</f>
        <v>64878</v>
      </c>
      <c r="AI36" s="384">
        <f>+IS!AI9</f>
        <v>68153</v>
      </c>
      <c r="AJ36" s="384">
        <f>+IS!AJ9</f>
        <v>71658</v>
      </c>
      <c r="AK36" s="384">
        <f>+IS!AK9</f>
        <v>74200</v>
      </c>
      <c r="AL36" s="539">
        <f>+IS!AL9</f>
        <v>278889</v>
      </c>
      <c r="AM36" s="384">
        <f>+IS!AM9</f>
        <v>75343</v>
      </c>
      <c r="AN36" s="384">
        <f>+IS!AN9</f>
        <v>78929</v>
      </c>
      <c r="AO36" s="384">
        <f>+IS!AO9</f>
        <v>82671</v>
      </c>
      <c r="AP36" s="384">
        <f>+IS!AP9</f>
        <v>84664</v>
      </c>
      <c r="AQ36" s="539">
        <f>+IS!AQ9</f>
        <v>321607</v>
      </c>
      <c r="AR36" s="384">
        <f>+IS!AR9</f>
        <v>86263</v>
      </c>
      <c r="AS36" s="384">
        <f>+IS!AS9</f>
        <v>88830</v>
      </c>
      <c r="AT36" s="384">
        <f>+IS!AT9</f>
        <v>93069</v>
      </c>
      <c r="AU36" s="384">
        <f>+IS!AU9</f>
        <v>94801</v>
      </c>
      <c r="AV36" s="539">
        <f>+IS!AV9</f>
        <v>362963</v>
      </c>
      <c r="AW36" s="384">
        <f>+IS!AW9</f>
        <v>96756</v>
      </c>
      <c r="AX36" s="384">
        <f>+IS!AX9</f>
        <v>99702</v>
      </c>
      <c r="AY36" s="384">
        <f>+IS!AY9</f>
        <v>104934</v>
      </c>
      <c r="AZ36" s="384">
        <f>+IS!AZ9</f>
        <v>109780</v>
      </c>
      <c r="BA36" s="539">
        <f>+IS!BA9</f>
        <v>411172</v>
      </c>
      <c r="BB36" s="384">
        <f>+IS!BB9</f>
        <v>113420</v>
      </c>
      <c r="BC36" s="384">
        <f>+IS!BC9</f>
        <v>119893</v>
      </c>
      <c r="BD36" s="384">
        <f>+IS!BD9</f>
        <v>125561</v>
      </c>
      <c r="BE36" s="384">
        <f>+IS!BE9</f>
        <v>130849</v>
      </c>
      <c r="BF36" s="539">
        <f>+IS!BF9</f>
        <v>489723</v>
      </c>
      <c r="BG36" s="384">
        <f>+IS!BG9</f>
        <v>130683</v>
      </c>
      <c r="BH36" s="384">
        <f>+IS!BH9</f>
        <v>137209</v>
      </c>
      <c r="BI36" s="384">
        <f>+IS!BI9</f>
        <v>141996</v>
      </c>
      <c r="BJ36" s="384">
        <f>+IS!BJ9</f>
        <v>144570</v>
      </c>
      <c r="BK36" s="539">
        <f>+IS!BK9</f>
        <v>554458</v>
      </c>
      <c r="BL36" s="384">
        <f>+IS!BL9</f>
        <v>145805</v>
      </c>
      <c r="BM36" s="384">
        <f>+IS!BM9</f>
        <v>148708</v>
      </c>
      <c r="BN36" s="384">
        <f>+IS!BN9</f>
        <v>153867</v>
      </c>
      <c r="BO36" s="384">
        <f>+IS!BO9</f>
        <v>159191</v>
      </c>
      <c r="BP36" s="539">
        <f>+IS!BP9</f>
        <v>607571</v>
      </c>
      <c r="BQ36" s="384">
        <f>+IS!BQ9</f>
        <v>159899</v>
      </c>
      <c r="BR36" s="384">
        <f>+IS!BR9</f>
        <v>164062</v>
      </c>
      <c r="BS36" s="384">
        <f>+IS!BS9</f>
        <v>169882</v>
      </c>
      <c r="BT36" s="384">
        <f>+IS!BT9</f>
        <v>175282</v>
      </c>
      <c r="BU36" s="539">
        <f>+IS!BU9</f>
        <v>669125</v>
      </c>
      <c r="BV36" s="384">
        <f>+IS!BV9</f>
        <v>173490.41500000001</v>
      </c>
      <c r="BW36" s="384">
        <f>+IS!BW9</f>
        <v>177186.96000000002</v>
      </c>
      <c r="BX36" s="384">
        <f>+IS!BX9</f>
        <v>182623.15</v>
      </c>
      <c r="BY36" s="384">
        <f>+IS!BY9</f>
        <v>187551.74000000002</v>
      </c>
      <c r="BZ36" s="539">
        <f>+IS!BZ9</f>
        <v>720852.26500000013</v>
      </c>
      <c r="CA36" s="384">
        <f>+IS!CA9</f>
        <v>187369.64820000003</v>
      </c>
      <c r="CB36" s="384">
        <f>+IS!CB9</f>
        <v>189590.04720000003</v>
      </c>
      <c r="CC36" s="384">
        <f>+IS!CC9</f>
        <v>193580.53899999999</v>
      </c>
      <c r="CD36" s="384">
        <f>+IS!CD9</f>
        <v>198804.84440000003</v>
      </c>
      <c r="CE36" s="539">
        <f>+IS!CE9</f>
        <v>769345.07880000013</v>
      </c>
    </row>
    <row r="37" spans="1:83" ht="9" hidden="1" customHeight="1" outlineLevel="2">
      <c r="B37" s="273"/>
      <c r="C37" s="275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0"/>
      <c r="P37" s="280"/>
      <c r="Q37" s="280"/>
      <c r="R37" s="530"/>
      <c r="S37" s="280"/>
      <c r="T37" s="280"/>
      <c r="U37" s="280"/>
      <c r="V37" s="280"/>
      <c r="W37" s="530"/>
      <c r="X37" s="280"/>
      <c r="Y37" s="280"/>
      <c r="Z37" s="280"/>
      <c r="AA37" s="280"/>
      <c r="AB37" s="530"/>
      <c r="AC37" s="280"/>
      <c r="AD37" s="280"/>
      <c r="AE37" s="280"/>
      <c r="AF37" s="280"/>
      <c r="AG37" s="530"/>
      <c r="AH37" s="280"/>
      <c r="AI37" s="280"/>
      <c r="AJ37" s="280"/>
      <c r="AK37" s="280"/>
      <c r="AL37" s="530"/>
      <c r="AM37" s="280"/>
      <c r="AN37" s="280"/>
      <c r="AO37" s="280"/>
      <c r="AP37" s="280"/>
      <c r="AQ37" s="530"/>
      <c r="AR37" s="280"/>
      <c r="AS37" s="280"/>
      <c r="AT37" s="280"/>
      <c r="AU37" s="280"/>
      <c r="AV37" s="530"/>
      <c r="AW37" s="280"/>
      <c r="AX37" s="280"/>
      <c r="AY37" s="280"/>
      <c r="AZ37" s="280"/>
      <c r="BA37" s="530"/>
      <c r="BB37" s="280"/>
      <c r="BC37" s="280"/>
      <c r="BD37" s="280"/>
      <c r="BE37" s="280"/>
      <c r="BF37" s="530"/>
      <c r="BG37" s="280"/>
      <c r="BH37" s="280"/>
      <c r="BI37" s="280"/>
      <c r="BJ37" s="280"/>
      <c r="BK37" s="530"/>
      <c r="BL37" s="280"/>
      <c r="BM37" s="280"/>
      <c r="BN37" s="280"/>
      <c r="BO37" s="280"/>
      <c r="BP37" s="530"/>
      <c r="BQ37" s="280"/>
      <c r="BR37" s="280"/>
      <c r="BS37" s="280"/>
      <c r="BT37" s="280"/>
      <c r="BU37" s="530"/>
      <c r="BV37" s="280"/>
      <c r="BW37" s="280"/>
      <c r="BX37" s="280"/>
      <c r="BY37" s="280"/>
      <c r="BZ37" s="530"/>
      <c r="CA37" s="280"/>
      <c r="CB37" s="280"/>
      <c r="CC37" s="280"/>
      <c r="CD37" s="280"/>
      <c r="CE37" s="530"/>
    </row>
    <row r="38" spans="1:83" hidden="1" outlineLevel="2">
      <c r="B38" s="273" t="s">
        <v>200</v>
      </c>
      <c r="C38" s="275"/>
      <c r="D38" s="282"/>
      <c r="E38" s="282"/>
      <c r="F38" s="282"/>
      <c r="G38" s="282"/>
      <c r="H38" s="282"/>
      <c r="I38" s="328"/>
      <c r="J38" s="328"/>
      <c r="K38" s="328"/>
      <c r="L38" s="328"/>
      <c r="M38" s="328"/>
      <c r="N38" s="328"/>
      <c r="O38" s="328"/>
      <c r="P38" s="328"/>
      <c r="Q38" s="328"/>
      <c r="R38" s="540"/>
      <c r="S38" s="328"/>
      <c r="T38" s="328"/>
      <c r="U38" s="328"/>
      <c r="V38" s="328"/>
      <c r="W38" s="540"/>
      <c r="X38" s="328">
        <f>+IS!X137</f>
        <v>0.23351025524764624</v>
      </c>
      <c r="Y38" s="328">
        <f>+IS!Y137</f>
        <v>0.21538731599668992</v>
      </c>
      <c r="Z38" s="328">
        <f>+IS!Z137</f>
        <v>0.20056982740351792</v>
      </c>
      <c r="AA38" s="328">
        <f>+IS!AA137</f>
        <v>0.17502531218359763</v>
      </c>
      <c r="AB38" s="540">
        <f>+IS!AB137</f>
        <v>0.20477344111416818</v>
      </c>
      <c r="AC38" s="328">
        <f>+IS!AC137</f>
        <v>0.14861183186299942</v>
      </c>
      <c r="AD38" s="328">
        <f>+IS!AD137</f>
        <v>0.14104733215037335</v>
      </c>
      <c r="AE38" s="328">
        <f>+IS!AE137</f>
        <v>0.1667679996861946</v>
      </c>
      <c r="AF38" s="328">
        <f>+IS!AF137</f>
        <v>0.20471430759803932</v>
      </c>
      <c r="AG38" s="540">
        <f>+IS!AG137</f>
        <v>0.16623973727421992</v>
      </c>
      <c r="AH38" s="328">
        <f>+IS!AH137</f>
        <v>0.22132489975715819</v>
      </c>
      <c r="AI38" s="328">
        <f>+IS!AI137</f>
        <v>0.23237857582004273</v>
      </c>
      <c r="AJ38" s="328">
        <f>+IS!AJ137</f>
        <v>0.20453857791225416</v>
      </c>
      <c r="AK38" s="328">
        <f>+IS!AK137</f>
        <v>0.17936898990701744</v>
      </c>
      <c r="AL38" s="540">
        <f>+IS!AL137</f>
        <v>0.20821130885334527</v>
      </c>
      <c r="AM38" s="574">
        <f>+IS!AM137</f>
        <v>0.16130275285921258</v>
      </c>
      <c r="AN38" s="575">
        <f>+IS!AN137</f>
        <v>0.158114829868091</v>
      </c>
      <c r="AO38" s="328">
        <f>+IS!AO137</f>
        <v>0.1536883530101314</v>
      </c>
      <c r="AP38" s="328">
        <f>+IS!AP137</f>
        <v>0.14102425876010782</v>
      </c>
      <c r="AQ38" s="540">
        <f>+IS!AQ137</f>
        <v>0.15317205052906346</v>
      </c>
      <c r="AR38" s="328">
        <f>+IS!AR137</f>
        <v>0.14493715408199837</v>
      </c>
      <c r="AS38" s="328">
        <f>+IS!AS137</f>
        <v>0.12544185280441922</v>
      </c>
      <c r="AT38" s="328">
        <f>+IS!AT137</f>
        <v>0.12577566498530324</v>
      </c>
      <c r="AU38" s="328">
        <f>+IS!AU137</f>
        <v>0.11973211754700941</v>
      </c>
      <c r="AV38" s="540">
        <f>+IS!AV137</f>
        <v>0.12859172841387156</v>
      </c>
      <c r="AW38" s="328">
        <f>+IS!AW137</f>
        <v>0.12163963692428958</v>
      </c>
      <c r="AX38" s="328">
        <f>+IS!AX137</f>
        <v>0.12239108409321164</v>
      </c>
      <c r="AY38" s="328">
        <f>+IS!AY137</f>
        <v>0.12748605873061924</v>
      </c>
      <c r="AZ38" s="328">
        <f>+IS!AZ137</f>
        <v>0.15800466239807598</v>
      </c>
      <c r="BA38" s="540">
        <f>+IS!BA137</f>
        <v>0.13282070073258145</v>
      </c>
      <c r="BB38" s="328">
        <f>+IS!BB137</f>
        <v>0.17222704535119271</v>
      </c>
      <c r="BC38" s="328">
        <f>+IS!BC137</f>
        <v>0.20251349020079834</v>
      </c>
      <c r="BD38" s="328">
        <f>+IS!BD137</f>
        <v>0.19657117807383684</v>
      </c>
      <c r="BE38" s="328">
        <f>+IS!BE137</f>
        <v>0.19192020404445254</v>
      </c>
      <c r="BF38" s="540">
        <f>+IS!BF137</f>
        <v>0.19104170517447683</v>
      </c>
      <c r="BG38" s="328">
        <f>+IS!BG137</f>
        <v>0.15220419679068953</v>
      </c>
      <c r="BH38" s="328">
        <f>+IS!BH137</f>
        <v>0.14442878233091183</v>
      </c>
      <c r="BI38" s="328">
        <f>+IS!BI137</f>
        <v>0.13089255421667545</v>
      </c>
      <c r="BJ38" s="328">
        <f>+IS!BJ137</f>
        <v>0.1048613287071356</v>
      </c>
      <c r="BK38" s="540">
        <f>+IS!BK137</f>
        <v>0.13218697100197452</v>
      </c>
      <c r="BL38" s="328">
        <f>+IS!BL137</f>
        <v>0.11571512744580392</v>
      </c>
      <c r="BM38" s="328">
        <f>+IS!BM137</f>
        <v>8.3806455844733119E-2</v>
      </c>
      <c r="BN38" s="328">
        <f>+IS!BN137</f>
        <v>8.3600946505535401E-2</v>
      </c>
      <c r="BO38" s="328">
        <f>+IS!BO137</f>
        <v>0.1011343985612505</v>
      </c>
      <c r="BP38" s="540">
        <f>+IS!BP137</f>
        <v>9.5792647955300403E-2</v>
      </c>
      <c r="BQ38" s="328">
        <f>+IS!BQ137</f>
        <v>9.6663351736908876E-2</v>
      </c>
      <c r="BR38" s="328">
        <f>+IS!BR137</f>
        <v>0.10324932081663385</v>
      </c>
      <c r="BS38" s="328">
        <f>+IS!BS137</f>
        <v>0.1040833966997472</v>
      </c>
      <c r="BT38" s="328">
        <f>+IS!BT137</f>
        <v>0.10107983491529038</v>
      </c>
      <c r="BU38" s="540">
        <f>+IS!BU137</f>
        <v>0.10131161625554874</v>
      </c>
      <c r="BV38" s="328">
        <f>+IS!BV137</f>
        <v>8.4999999999999964E-2</v>
      </c>
      <c r="BW38" s="328">
        <f>+IS!BW137</f>
        <v>8.0000000000000071E-2</v>
      </c>
      <c r="BX38" s="328">
        <f>+IS!BX137</f>
        <v>7.4999999999999956E-2</v>
      </c>
      <c r="BY38" s="328">
        <f>+IS!BY137</f>
        <v>7.0000000000000062E-2</v>
      </c>
      <c r="BZ38" s="540">
        <f>+IS!BZ137</f>
        <v>7.7305832243601991E-2</v>
      </c>
      <c r="CA38" s="328">
        <f>+IS!CA137</f>
        <v>8.0000000000000071E-2</v>
      </c>
      <c r="CB38" s="328">
        <f>+IS!CB137</f>
        <v>7.0000000000000062E-2</v>
      </c>
      <c r="CC38" s="328">
        <f>+IS!CC137</f>
        <v>6.0000000000000053E-2</v>
      </c>
      <c r="CD38" s="328">
        <f>+IS!CD137</f>
        <v>6.0000000000000053E-2</v>
      </c>
      <c r="CE38" s="540">
        <f>+IS!CE137</f>
        <v>6.7271500908719473E-2</v>
      </c>
    </row>
    <row r="39" spans="1:83" hidden="1" outlineLevel="2">
      <c r="A39" s="121" t="s">
        <v>217</v>
      </c>
      <c r="B39" s="273" t="s">
        <v>295</v>
      </c>
      <c r="C39" s="275"/>
      <c r="D39" s="304"/>
      <c r="E39" s="304"/>
      <c r="F39" s="304"/>
      <c r="G39" s="304"/>
      <c r="H39" s="304"/>
      <c r="I39" s="329"/>
      <c r="J39" s="329"/>
      <c r="K39" s="329"/>
      <c r="L39" s="329"/>
      <c r="M39" s="328"/>
      <c r="N39" s="329"/>
      <c r="O39" s="329"/>
      <c r="P39" s="329"/>
      <c r="Q39" s="329"/>
      <c r="R39" s="540"/>
      <c r="S39" s="329"/>
      <c r="T39" s="329"/>
      <c r="U39" s="329"/>
      <c r="V39" s="329"/>
      <c r="W39" s="540"/>
      <c r="X39" s="329">
        <v>-2.5999999999999999E-2</v>
      </c>
      <c r="Y39" s="329">
        <v>-2.8000000000000001E-2</v>
      </c>
      <c r="Z39" s="329">
        <v>-1.6E-2</v>
      </c>
      <c r="AA39" s="329">
        <v>-8.0000000000000002E-3</v>
      </c>
      <c r="AB39" s="540">
        <f>+(AA39+Z39+Y39+X39)/4</f>
        <v>-1.95E-2</v>
      </c>
      <c r="AC39" s="329">
        <v>2.1999999999999999E-2</v>
      </c>
      <c r="AD39" s="329">
        <v>2.1000000000000001E-2</v>
      </c>
      <c r="AE39" s="329">
        <v>1.4999999999999999E-2</v>
      </c>
      <c r="AF39" s="329">
        <v>6.0000000000000001E-3</v>
      </c>
      <c r="AG39" s="540">
        <f>+(AF39+AE39+AD39+AC39)/4</f>
        <v>1.6E-2</v>
      </c>
      <c r="AH39" s="329">
        <v>0</v>
      </c>
      <c r="AI39" s="329">
        <v>0</v>
      </c>
      <c r="AJ39" s="329">
        <v>0</v>
      </c>
      <c r="AK39" s="329">
        <v>0</v>
      </c>
      <c r="AL39" s="540">
        <f>+(AK39+AJ39+AI39+AH39)/4</f>
        <v>0</v>
      </c>
      <c r="AM39" s="329">
        <f>+AK39</f>
        <v>0</v>
      </c>
      <c r="AN39" s="329">
        <f t="shared" ref="AN39:AP40" si="167">+AM39</f>
        <v>0</v>
      </c>
      <c r="AO39" s="329">
        <f t="shared" si="167"/>
        <v>0</v>
      </c>
      <c r="AP39" s="329">
        <f t="shared" si="167"/>
        <v>0</v>
      </c>
      <c r="AQ39" s="540">
        <f>+(AP39+AO39+AN39+AM39)/4</f>
        <v>0</v>
      </c>
      <c r="AR39" s="329">
        <f>+AP39</f>
        <v>0</v>
      </c>
      <c r="AS39" s="329">
        <f t="shared" ref="AS39:AU40" si="168">+AR39</f>
        <v>0</v>
      </c>
      <c r="AT39" s="329">
        <f t="shared" si="168"/>
        <v>0</v>
      </c>
      <c r="AU39" s="329">
        <f t="shared" si="168"/>
        <v>0</v>
      </c>
      <c r="AV39" s="540">
        <f>+(AU39+AT39+AS39+AR39)/4</f>
        <v>0</v>
      </c>
      <c r="AW39" s="329">
        <f>+AU39</f>
        <v>0</v>
      </c>
      <c r="AX39" s="329">
        <f t="shared" ref="AX39:AX40" si="169">+AW39</f>
        <v>0</v>
      </c>
      <c r="AY39" s="329">
        <f t="shared" ref="AY39:AY40" si="170">+AX39</f>
        <v>0</v>
      </c>
      <c r="AZ39" s="329">
        <f t="shared" ref="AZ39:AZ40" si="171">+AY39</f>
        <v>0</v>
      </c>
      <c r="BA39" s="540">
        <f>+(AZ39+AY39+AX39+AW39)/4</f>
        <v>0</v>
      </c>
      <c r="BB39" s="329">
        <f>+AZ39</f>
        <v>0</v>
      </c>
      <c r="BC39" s="329">
        <f t="shared" ref="BC39:BC40" si="172">+BB39</f>
        <v>0</v>
      </c>
      <c r="BD39" s="329">
        <f t="shared" ref="BD39:BD40" si="173">+BC39</f>
        <v>0</v>
      </c>
      <c r="BE39" s="329">
        <f t="shared" ref="BE39:BE40" si="174">+BD39</f>
        <v>0</v>
      </c>
      <c r="BF39" s="540">
        <f>+(BE39+BD39+BC39+BB39)/4</f>
        <v>0</v>
      </c>
      <c r="BG39" s="329">
        <f>+BE39</f>
        <v>0</v>
      </c>
      <c r="BH39" s="329">
        <f t="shared" ref="BH39:BH40" si="175">+BG39</f>
        <v>0</v>
      </c>
      <c r="BI39" s="329">
        <f t="shared" ref="BI39:BI40" si="176">+BH39</f>
        <v>0</v>
      </c>
      <c r="BJ39" s="329">
        <f t="shared" ref="BJ39:BJ40" si="177">+BI39</f>
        <v>0</v>
      </c>
      <c r="BK39" s="540">
        <f>+(BJ39+BI39+BH39+BG39)/4</f>
        <v>0</v>
      </c>
      <c r="BL39" s="329">
        <f>+BJ39</f>
        <v>0</v>
      </c>
      <c r="BM39" s="329">
        <f t="shared" ref="BM39:BM40" si="178">+BL39</f>
        <v>0</v>
      </c>
      <c r="BN39" s="329">
        <f t="shared" ref="BN39:BN40" si="179">+BM39</f>
        <v>0</v>
      </c>
      <c r="BO39" s="329">
        <f t="shared" ref="BO39:BO40" si="180">+BN39</f>
        <v>0</v>
      </c>
      <c r="BP39" s="540">
        <f>+(BO39+BN39+BM39+BL39)/4</f>
        <v>0</v>
      </c>
      <c r="BQ39" s="329">
        <f>+BO39</f>
        <v>0</v>
      </c>
      <c r="BR39" s="329">
        <f t="shared" ref="BR39:BR40" si="181">+BQ39</f>
        <v>0</v>
      </c>
      <c r="BS39" s="329">
        <f t="shared" ref="BS39:BS40" si="182">+BR39</f>
        <v>0</v>
      </c>
      <c r="BT39" s="329">
        <f t="shared" ref="BT39:BT40" si="183">+BS39</f>
        <v>0</v>
      </c>
      <c r="BU39" s="540">
        <f>+(BT39+BS39+BR39+BQ39)/4</f>
        <v>0</v>
      </c>
      <c r="BV39" s="329">
        <f>+BT39</f>
        <v>0</v>
      </c>
      <c r="BW39" s="329">
        <f t="shared" ref="BW39:BW40" si="184">+BV39</f>
        <v>0</v>
      </c>
      <c r="BX39" s="329">
        <f t="shared" ref="BX39:BX40" si="185">+BW39</f>
        <v>0</v>
      </c>
      <c r="BY39" s="329">
        <f t="shared" ref="BY39:BY40" si="186">+BX39</f>
        <v>0</v>
      </c>
      <c r="BZ39" s="540">
        <f>+(BY39+BX39+BW39+BV39)/4</f>
        <v>0</v>
      </c>
      <c r="CA39" s="329">
        <f>+BY39</f>
        <v>0</v>
      </c>
      <c r="CB39" s="329">
        <f t="shared" ref="CB39:CB40" si="187">+CA39</f>
        <v>0</v>
      </c>
      <c r="CC39" s="329">
        <f t="shared" ref="CC39:CC40" si="188">+CB39</f>
        <v>0</v>
      </c>
      <c r="CD39" s="329">
        <f t="shared" ref="CD39:CD40" si="189">+CC39</f>
        <v>0</v>
      </c>
      <c r="CE39" s="540">
        <f>+(CD39+CC39+CB39+CA39)/4</f>
        <v>0</v>
      </c>
    </row>
    <row r="40" spans="1:83" hidden="1" outlineLevel="2">
      <c r="A40" s="121" t="s">
        <v>217</v>
      </c>
      <c r="B40" s="273" t="s">
        <v>206</v>
      </c>
      <c r="C40" s="275"/>
      <c r="D40" s="304"/>
      <c r="E40" s="304"/>
      <c r="F40" s="304"/>
      <c r="G40" s="304"/>
      <c r="H40" s="304"/>
      <c r="I40" s="329"/>
      <c r="J40" s="329"/>
      <c r="K40" s="329"/>
      <c r="L40" s="329"/>
      <c r="M40" s="328"/>
      <c r="N40" s="329"/>
      <c r="O40" s="329"/>
      <c r="P40" s="329"/>
      <c r="Q40" s="329"/>
      <c r="R40" s="540"/>
      <c r="S40" s="329"/>
      <c r="T40" s="329"/>
      <c r="U40" s="329"/>
      <c r="V40" s="329"/>
      <c r="W40" s="540"/>
      <c r="X40" s="329">
        <v>2.4E-2</v>
      </c>
      <c r="Y40" s="329">
        <v>1.6E-2</v>
      </c>
      <c r="Z40" s="329">
        <v>1.2999999999999999E-2</v>
      </c>
      <c r="AA40" s="329">
        <v>1.2E-2</v>
      </c>
      <c r="AB40" s="540">
        <f>+(AA40+Z40+Y40+X40)/4</f>
        <v>1.6250000000000001E-2</v>
      </c>
      <c r="AC40" s="329">
        <v>1.0999999999999999E-2</v>
      </c>
      <c r="AD40" s="329">
        <v>1.2999999999999999E-2</v>
      </c>
      <c r="AE40" s="329">
        <v>1.0999999999999999E-2</v>
      </c>
      <c r="AF40" s="329">
        <v>7.0000000000000001E-3</v>
      </c>
      <c r="AG40" s="540">
        <f>+(AF40+AE40+AD40+AC40)/4</f>
        <v>1.0499999999999999E-2</v>
      </c>
      <c r="AH40" s="329">
        <v>0</v>
      </c>
      <c r="AI40" s="329">
        <v>0</v>
      </c>
      <c r="AJ40" s="329">
        <v>0</v>
      </c>
      <c r="AK40" s="329">
        <v>0</v>
      </c>
      <c r="AL40" s="540">
        <f>+(AK40+AJ40+AI40+AH40)/4</f>
        <v>0</v>
      </c>
      <c r="AM40" s="329">
        <f>+AK40</f>
        <v>0</v>
      </c>
      <c r="AN40" s="329">
        <f t="shared" si="167"/>
        <v>0</v>
      </c>
      <c r="AO40" s="329">
        <f t="shared" si="167"/>
        <v>0</v>
      </c>
      <c r="AP40" s="329">
        <f t="shared" si="167"/>
        <v>0</v>
      </c>
      <c r="AQ40" s="540">
        <f>+(AP40+AO40+AN40+AM40)/4</f>
        <v>0</v>
      </c>
      <c r="AR40" s="329">
        <f>+AP40</f>
        <v>0</v>
      </c>
      <c r="AS40" s="329">
        <f t="shared" si="168"/>
        <v>0</v>
      </c>
      <c r="AT40" s="329">
        <f t="shared" si="168"/>
        <v>0</v>
      </c>
      <c r="AU40" s="329">
        <f t="shared" si="168"/>
        <v>0</v>
      </c>
      <c r="AV40" s="540">
        <f>+(AU40+AT40+AS40+AR40)/4</f>
        <v>0</v>
      </c>
      <c r="AW40" s="329">
        <f>+AU40</f>
        <v>0</v>
      </c>
      <c r="AX40" s="329">
        <f t="shared" si="169"/>
        <v>0</v>
      </c>
      <c r="AY40" s="329">
        <f t="shared" si="170"/>
        <v>0</v>
      </c>
      <c r="AZ40" s="329">
        <f t="shared" si="171"/>
        <v>0</v>
      </c>
      <c r="BA40" s="540">
        <f>+(AZ40+AY40+AX40+AW40)/4</f>
        <v>0</v>
      </c>
      <c r="BB40" s="329">
        <f>+AZ40</f>
        <v>0</v>
      </c>
      <c r="BC40" s="329">
        <f t="shared" si="172"/>
        <v>0</v>
      </c>
      <c r="BD40" s="329">
        <f t="shared" si="173"/>
        <v>0</v>
      </c>
      <c r="BE40" s="329">
        <f t="shared" si="174"/>
        <v>0</v>
      </c>
      <c r="BF40" s="540">
        <f>+(BE40+BD40+BC40+BB40)/4</f>
        <v>0</v>
      </c>
      <c r="BG40" s="329">
        <f>+BE40</f>
        <v>0</v>
      </c>
      <c r="BH40" s="329">
        <f t="shared" si="175"/>
        <v>0</v>
      </c>
      <c r="BI40" s="329">
        <f t="shared" si="176"/>
        <v>0</v>
      </c>
      <c r="BJ40" s="329">
        <f t="shared" si="177"/>
        <v>0</v>
      </c>
      <c r="BK40" s="540">
        <f>+(BJ40+BI40+BH40+BG40)/4</f>
        <v>0</v>
      </c>
      <c r="BL40" s="329">
        <f>+BJ40</f>
        <v>0</v>
      </c>
      <c r="BM40" s="329">
        <f t="shared" si="178"/>
        <v>0</v>
      </c>
      <c r="BN40" s="329">
        <f t="shared" si="179"/>
        <v>0</v>
      </c>
      <c r="BO40" s="329">
        <f t="shared" si="180"/>
        <v>0</v>
      </c>
      <c r="BP40" s="540">
        <f>+(BO40+BN40+BM40+BL40)/4</f>
        <v>0</v>
      </c>
      <c r="BQ40" s="329">
        <f>+BO40</f>
        <v>0</v>
      </c>
      <c r="BR40" s="329">
        <f t="shared" si="181"/>
        <v>0</v>
      </c>
      <c r="BS40" s="329">
        <f t="shared" si="182"/>
        <v>0</v>
      </c>
      <c r="BT40" s="329">
        <f t="shared" si="183"/>
        <v>0</v>
      </c>
      <c r="BU40" s="540">
        <f>+(BT40+BS40+BR40+BQ40)/4</f>
        <v>0</v>
      </c>
      <c r="BV40" s="329">
        <f>+BT40</f>
        <v>0</v>
      </c>
      <c r="BW40" s="329">
        <f t="shared" si="184"/>
        <v>0</v>
      </c>
      <c r="BX40" s="329">
        <f t="shared" si="185"/>
        <v>0</v>
      </c>
      <c r="BY40" s="329">
        <f t="shared" si="186"/>
        <v>0</v>
      </c>
      <c r="BZ40" s="540">
        <f>+(BY40+BX40+BW40+BV40)/4</f>
        <v>0</v>
      </c>
      <c r="CA40" s="329">
        <f>+BY40</f>
        <v>0</v>
      </c>
      <c r="CB40" s="329">
        <f t="shared" si="187"/>
        <v>0</v>
      </c>
      <c r="CC40" s="329">
        <f t="shared" si="188"/>
        <v>0</v>
      </c>
      <c r="CD40" s="329">
        <f t="shared" si="189"/>
        <v>0</v>
      </c>
      <c r="CE40" s="540">
        <f>+(CD40+CC40+CB40+CA40)/4</f>
        <v>0</v>
      </c>
    </row>
    <row r="41" spans="1:83" ht="6" hidden="1" customHeight="1" outlineLevel="2">
      <c r="B41" s="273"/>
      <c r="C41" s="275"/>
      <c r="D41" s="330" t="s">
        <v>0</v>
      </c>
      <c r="E41" s="330" t="s">
        <v>0</v>
      </c>
      <c r="F41" s="330" t="s">
        <v>0</v>
      </c>
      <c r="G41" s="330" t="s">
        <v>0</v>
      </c>
      <c r="H41" s="330" t="s">
        <v>0</v>
      </c>
      <c r="I41" s="330" t="s">
        <v>0</v>
      </c>
      <c r="J41" s="330" t="s">
        <v>0</v>
      </c>
      <c r="K41" s="330" t="s">
        <v>0</v>
      </c>
      <c r="L41" s="330" t="s">
        <v>0</v>
      </c>
      <c r="M41" s="330" t="s">
        <v>0</v>
      </c>
      <c r="N41" s="330" t="s">
        <v>0</v>
      </c>
      <c r="O41" s="330" t="s">
        <v>0</v>
      </c>
      <c r="P41" s="330" t="s">
        <v>0</v>
      </c>
      <c r="Q41" s="330" t="s">
        <v>0</v>
      </c>
      <c r="R41" s="541" t="s">
        <v>0</v>
      </c>
      <c r="S41" s="330" t="s">
        <v>0</v>
      </c>
      <c r="T41" s="330" t="s">
        <v>0</v>
      </c>
      <c r="U41" s="330" t="s">
        <v>0</v>
      </c>
      <c r="V41" s="330" t="s">
        <v>0</v>
      </c>
      <c r="W41" s="541" t="s">
        <v>0</v>
      </c>
      <c r="X41" s="330" t="s">
        <v>0</v>
      </c>
      <c r="Y41" s="330" t="s">
        <v>0</v>
      </c>
      <c r="Z41" s="330" t="s">
        <v>0</v>
      </c>
      <c r="AA41" s="330" t="s">
        <v>0</v>
      </c>
      <c r="AB41" s="541" t="s">
        <v>0</v>
      </c>
      <c r="AC41" s="330" t="s">
        <v>0</v>
      </c>
      <c r="AD41" s="330" t="s">
        <v>0</v>
      </c>
      <c r="AE41" s="330" t="s">
        <v>0</v>
      </c>
      <c r="AF41" s="330" t="s">
        <v>0</v>
      </c>
      <c r="AG41" s="541" t="s">
        <v>0</v>
      </c>
      <c r="AH41" s="330" t="s">
        <v>0</v>
      </c>
      <c r="AI41" s="330" t="s">
        <v>0</v>
      </c>
      <c r="AJ41" s="330" t="s">
        <v>0</v>
      </c>
      <c r="AK41" s="330" t="s">
        <v>0</v>
      </c>
      <c r="AL41" s="541" t="s">
        <v>0</v>
      </c>
      <c r="AM41" s="330" t="s">
        <v>0</v>
      </c>
      <c r="AN41" s="330" t="s">
        <v>0</v>
      </c>
      <c r="AO41" s="330" t="s">
        <v>0</v>
      </c>
      <c r="AP41" s="330" t="s">
        <v>0</v>
      </c>
      <c r="AQ41" s="541" t="s">
        <v>0</v>
      </c>
      <c r="AR41" s="330" t="s">
        <v>0</v>
      </c>
      <c r="AS41" s="330" t="s">
        <v>0</v>
      </c>
      <c r="AT41" s="330" t="s">
        <v>0</v>
      </c>
      <c r="AU41" s="330" t="s">
        <v>0</v>
      </c>
      <c r="AV41" s="541" t="s">
        <v>0</v>
      </c>
      <c r="AW41" s="330" t="s">
        <v>0</v>
      </c>
      <c r="AX41" s="330" t="s">
        <v>0</v>
      </c>
      <c r="AY41" s="330" t="s">
        <v>0</v>
      </c>
      <c r="AZ41" s="330" t="s">
        <v>0</v>
      </c>
      <c r="BA41" s="541" t="s">
        <v>0</v>
      </c>
      <c r="BB41" s="330" t="s">
        <v>0</v>
      </c>
      <c r="BC41" s="330" t="s">
        <v>0</v>
      </c>
      <c r="BD41" s="330" t="s">
        <v>0</v>
      </c>
      <c r="BE41" s="330" t="s">
        <v>0</v>
      </c>
      <c r="BF41" s="541" t="s">
        <v>0</v>
      </c>
      <c r="BG41" s="330" t="s">
        <v>0</v>
      </c>
      <c r="BH41" s="330" t="s">
        <v>0</v>
      </c>
      <c r="BI41" s="330" t="s">
        <v>0</v>
      </c>
      <c r="BJ41" s="330" t="s">
        <v>0</v>
      </c>
      <c r="BK41" s="541" t="s">
        <v>0</v>
      </c>
      <c r="BL41" s="330" t="s">
        <v>0</v>
      </c>
      <c r="BM41" s="330" t="s">
        <v>0</v>
      </c>
      <c r="BN41" s="330" t="s">
        <v>0</v>
      </c>
      <c r="BO41" s="330" t="s">
        <v>0</v>
      </c>
      <c r="BP41" s="541" t="s">
        <v>0</v>
      </c>
      <c r="BQ41" s="330" t="s">
        <v>0</v>
      </c>
      <c r="BR41" s="330" t="s">
        <v>0</v>
      </c>
      <c r="BS41" s="330" t="s">
        <v>0</v>
      </c>
      <c r="BT41" s="330" t="s">
        <v>0</v>
      </c>
      <c r="BU41" s="541" t="s">
        <v>0</v>
      </c>
      <c r="BV41" s="330" t="s">
        <v>0</v>
      </c>
      <c r="BW41" s="330" t="s">
        <v>0</v>
      </c>
      <c r="BX41" s="330" t="s">
        <v>0</v>
      </c>
      <c r="BY41" s="330" t="s">
        <v>0</v>
      </c>
      <c r="BZ41" s="541" t="s">
        <v>0</v>
      </c>
      <c r="CA41" s="330" t="s">
        <v>0</v>
      </c>
      <c r="CB41" s="330" t="s">
        <v>0</v>
      </c>
      <c r="CC41" s="330" t="s">
        <v>0</v>
      </c>
      <c r="CD41" s="330" t="s">
        <v>0</v>
      </c>
      <c r="CE41" s="541" t="s">
        <v>0</v>
      </c>
    </row>
    <row r="42" spans="1:83" s="308" customFormat="1" hidden="1" outlineLevel="2">
      <c r="B42" s="274" t="s">
        <v>199</v>
      </c>
      <c r="C42" s="289"/>
      <c r="D42" s="331">
        <f t="shared" ref="D42:H42" si="190">+D38+D39+D40</f>
        <v>0</v>
      </c>
      <c r="E42" s="331">
        <f t="shared" si="190"/>
        <v>0</v>
      </c>
      <c r="F42" s="331">
        <f t="shared" si="190"/>
        <v>0</v>
      </c>
      <c r="G42" s="331">
        <f t="shared" si="190"/>
        <v>0</v>
      </c>
      <c r="H42" s="331">
        <f t="shared" si="190"/>
        <v>0</v>
      </c>
      <c r="I42" s="331">
        <f t="shared" ref="I42:AL42" si="191">+I38+I39+I40</f>
        <v>0</v>
      </c>
      <c r="J42" s="331">
        <f t="shared" si="191"/>
        <v>0</v>
      </c>
      <c r="K42" s="331">
        <f t="shared" si="191"/>
        <v>0</v>
      </c>
      <c r="L42" s="331">
        <f t="shared" si="191"/>
        <v>0</v>
      </c>
      <c r="M42" s="331">
        <f t="shared" si="191"/>
        <v>0</v>
      </c>
      <c r="N42" s="331">
        <f t="shared" si="191"/>
        <v>0</v>
      </c>
      <c r="O42" s="331">
        <f t="shared" si="191"/>
        <v>0</v>
      </c>
      <c r="P42" s="331">
        <f t="shared" si="191"/>
        <v>0</v>
      </c>
      <c r="Q42" s="331">
        <f t="shared" si="191"/>
        <v>0</v>
      </c>
      <c r="R42" s="542">
        <f t="shared" si="191"/>
        <v>0</v>
      </c>
      <c r="S42" s="331">
        <f t="shared" si="191"/>
        <v>0</v>
      </c>
      <c r="T42" s="331">
        <f t="shared" si="191"/>
        <v>0</v>
      </c>
      <c r="U42" s="331">
        <f t="shared" si="191"/>
        <v>0</v>
      </c>
      <c r="V42" s="331">
        <f t="shared" si="191"/>
        <v>0</v>
      </c>
      <c r="W42" s="542">
        <f t="shared" si="191"/>
        <v>0</v>
      </c>
      <c r="X42" s="331">
        <f t="shared" si="191"/>
        <v>0.23151025524764623</v>
      </c>
      <c r="Y42" s="331">
        <f t="shared" si="191"/>
        <v>0.20338731599668991</v>
      </c>
      <c r="Z42" s="331">
        <f t="shared" si="191"/>
        <v>0.19756982740351792</v>
      </c>
      <c r="AA42" s="331">
        <f t="shared" si="191"/>
        <v>0.17902531218359763</v>
      </c>
      <c r="AB42" s="542">
        <f t="shared" si="191"/>
        <v>0.2015234411141682</v>
      </c>
      <c r="AC42" s="331">
        <f t="shared" si="191"/>
        <v>0.18161183186299942</v>
      </c>
      <c r="AD42" s="331">
        <f t="shared" si="191"/>
        <v>0.17504733215037335</v>
      </c>
      <c r="AE42" s="331">
        <f t="shared" si="191"/>
        <v>0.19276799968619462</v>
      </c>
      <c r="AF42" s="331">
        <f t="shared" si="191"/>
        <v>0.21771430759803934</v>
      </c>
      <c r="AG42" s="542">
        <f t="shared" si="191"/>
        <v>0.19273973727421995</v>
      </c>
      <c r="AH42" s="331">
        <f t="shared" si="191"/>
        <v>0.22132489975715819</v>
      </c>
      <c r="AI42" s="331">
        <f t="shared" si="191"/>
        <v>0.23237857582004273</v>
      </c>
      <c r="AJ42" s="331">
        <f t="shared" si="191"/>
        <v>0.20453857791225416</v>
      </c>
      <c r="AK42" s="331">
        <f t="shared" si="191"/>
        <v>0.17936898990701744</v>
      </c>
      <c r="AL42" s="542">
        <f t="shared" si="191"/>
        <v>0.20821130885334527</v>
      </c>
      <c r="AM42" s="331">
        <f t="shared" ref="AM42:AQ42" si="192">+AM38+AM39+AM40</f>
        <v>0.16130275285921258</v>
      </c>
      <c r="AN42" s="331">
        <f t="shared" si="192"/>
        <v>0.158114829868091</v>
      </c>
      <c r="AO42" s="331">
        <f t="shared" si="192"/>
        <v>0.1536883530101314</v>
      </c>
      <c r="AP42" s="331">
        <f t="shared" si="192"/>
        <v>0.14102425876010782</v>
      </c>
      <c r="AQ42" s="542">
        <f t="shared" si="192"/>
        <v>0.15317205052906346</v>
      </c>
      <c r="AR42" s="331">
        <f t="shared" ref="AR42:AV42" si="193">+AR38+AR39+AR40</f>
        <v>0.14493715408199837</v>
      </c>
      <c r="AS42" s="331">
        <f t="shared" si="193"/>
        <v>0.12544185280441922</v>
      </c>
      <c r="AT42" s="331">
        <f t="shared" si="193"/>
        <v>0.12577566498530324</v>
      </c>
      <c r="AU42" s="331">
        <f t="shared" si="193"/>
        <v>0.11973211754700941</v>
      </c>
      <c r="AV42" s="542">
        <f t="shared" si="193"/>
        <v>0.12859172841387156</v>
      </c>
      <c r="AW42" s="331">
        <f t="shared" ref="AW42:BA42" si="194">+AW38+AW39+AW40</f>
        <v>0.12163963692428958</v>
      </c>
      <c r="AX42" s="331">
        <f t="shared" si="194"/>
        <v>0.12239108409321164</v>
      </c>
      <c r="AY42" s="331">
        <f t="shared" si="194"/>
        <v>0.12748605873061924</v>
      </c>
      <c r="AZ42" s="331">
        <f t="shared" si="194"/>
        <v>0.15800466239807598</v>
      </c>
      <c r="BA42" s="542">
        <f t="shared" si="194"/>
        <v>0.13282070073258145</v>
      </c>
      <c r="BB42" s="331">
        <f t="shared" ref="BB42:BF42" si="195">+BB38+BB39+BB40</f>
        <v>0.17222704535119271</v>
      </c>
      <c r="BC42" s="331">
        <f t="shared" si="195"/>
        <v>0.20251349020079834</v>
      </c>
      <c r="BD42" s="331">
        <f t="shared" si="195"/>
        <v>0.19657117807383684</v>
      </c>
      <c r="BE42" s="331">
        <f t="shared" si="195"/>
        <v>0.19192020404445254</v>
      </c>
      <c r="BF42" s="542">
        <f t="shared" si="195"/>
        <v>0.19104170517447683</v>
      </c>
      <c r="BG42" s="331">
        <f t="shared" ref="BG42:BK42" si="196">+BG38+BG39+BG40</f>
        <v>0.15220419679068953</v>
      </c>
      <c r="BH42" s="331">
        <f t="shared" si="196"/>
        <v>0.14442878233091183</v>
      </c>
      <c r="BI42" s="331">
        <f t="shared" si="196"/>
        <v>0.13089255421667545</v>
      </c>
      <c r="BJ42" s="331">
        <f t="shared" si="196"/>
        <v>0.1048613287071356</v>
      </c>
      <c r="BK42" s="542">
        <f t="shared" si="196"/>
        <v>0.13218697100197452</v>
      </c>
      <c r="BL42" s="331">
        <f t="shared" ref="BL42:BP42" si="197">+BL38+BL39+BL40</f>
        <v>0.11571512744580392</v>
      </c>
      <c r="BM42" s="331">
        <f t="shared" si="197"/>
        <v>8.3806455844733119E-2</v>
      </c>
      <c r="BN42" s="331">
        <f t="shared" si="197"/>
        <v>8.3600946505535401E-2</v>
      </c>
      <c r="BO42" s="331">
        <f t="shared" si="197"/>
        <v>0.1011343985612505</v>
      </c>
      <c r="BP42" s="542">
        <f t="shared" si="197"/>
        <v>9.5792647955300403E-2</v>
      </c>
      <c r="BQ42" s="331">
        <f t="shared" ref="BQ42:BU42" si="198">+BQ38+BQ39+BQ40</f>
        <v>9.6663351736908876E-2</v>
      </c>
      <c r="BR42" s="331">
        <f t="shared" si="198"/>
        <v>0.10324932081663385</v>
      </c>
      <c r="BS42" s="331">
        <f t="shared" si="198"/>
        <v>0.1040833966997472</v>
      </c>
      <c r="BT42" s="331">
        <f t="shared" si="198"/>
        <v>0.10107983491529038</v>
      </c>
      <c r="BU42" s="542">
        <f t="shared" si="198"/>
        <v>0.10131161625554874</v>
      </c>
      <c r="BV42" s="331">
        <f t="shared" ref="BV42:BZ42" si="199">+BV38+BV39+BV40</f>
        <v>8.4999999999999964E-2</v>
      </c>
      <c r="BW42" s="331">
        <f t="shared" si="199"/>
        <v>8.0000000000000071E-2</v>
      </c>
      <c r="BX42" s="331">
        <f t="shared" si="199"/>
        <v>7.4999999999999956E-2</v>
      </c>
      <c r="BY42" s="331">
        <f t="shared" si="199"/>
        <v>7.0000000000000062E-2</v>
      </c>
      <c r="BZ42" s="542">
        <f t="shared" si="199"/>
        <v>7.7305832243601991E-2</v>
      </c>
      <c r="CA42" s="331">
        <f t="shared" ref="CA42:CE42" si="200">+CA38+CA39+CA40</f>
        <v>8.0000000000000071E-2</v>
      </c>
      <c r="CB42" s="331">
        <f t="shared" si="200"/>
        <v>7.0000000000000062E-2</v>
      </c>
      <c r="CC42" s="331">
        <f t="shared" si="200"/>
        <v>6.0000000000000053E-2</v>
      </c>
      <c r="CD42" s="331">
        <f t="shared" si="200"/>
        <v>6.0000000000000053E-2</v>
      </c>
      <c r="CE42" s="542">
        <f t="shared" si="200"/>
        <v>6.7271500908719473E-2</v>
      </c>
    </row>
    <row r="43" spans="1:83" ht="7.5" hidden="1" customHeight="1" outlineLevel="2">
      <c r="B43" s="273"/>
      <c r="C43" s="275"/>
      <c r="D43" s="276"/>
      <c r="E43" s="276"/>
      <c r="F43" s="276"/>
      <c r="G43" s="276"/>
      <c r="H43" s="276"/>
      <c r="I43" s="276"/>
      <c r="J43" s="276"/>
      <c r="K43" s="276"/>
      <c r="L43" s="276"/>
      <c r="M43" s="276"/>
      <c r="N43" s="276"/>
      <c r="O43" s="276"/>
      <c r="P43" s="276"/>
      <c r="Q43" s="276"/>
      <c r="R43" s="529"/>
      <c r="S43" s="276"/>
      <c r="T43" s="276"/>
      <c r="U43" s="276"/>
      <c r="V43" s="276"/>
      <c r="W43" s="529"/>
      <c r="X43" s="276"/>
      <c r="Y43" s="276"/>
      <c r="Z43" s="276"/>
      <c r="AA43" s="276"/>
      <c r="AB43" s="529"/>
      <c r="AC43" s="276"/>
      <c r="AD43" s="276"/>
      <c r="AE43" s="276"/>
      <c r="AF43" s="276"/>
      <c r="AG43" s="529"/>
      <c r="AH43" s="276"/>
      <c r="AI43" s="276"/>
      <c r="AJ43" s="276"/>
      <c r="AK43" s="276"/>
      <c r="AL43" s="529"/>
      <c r="AM43" s="276"/>
      <c r="AN43" s="276"/>
      <c r="AO43" s="276"/>
      <c r="AP43" s="276"/>
      <c r="AQ43" s="529"/>
      <c r="AR43" s="276"/>
      <c r="AS43" s="276"/>
      <c r="AT43" s="276"/>
      <c r="AU43" s="276"/>
      <c r="AV43" s="529"/>
      <c r="AW43" s="276"/>
      <c r="AX43" s="276"/>
      <c r="AY43" s="276"/>
      <c r="AZ43" s="276"/>
      <c r="BA43" s="529"/>
      <c r="BB43" s="276"/>
      <c r="BC43" s="276"/>
      <c r="BD43" s="276"/>
      <c r="BE43" s="276"/>
      <c r="BF43" s="529"/>
      <c r="BG43" s="276"/>
      <c r="BH43" s="276"/>
      <c r="BI43" s="276"/>
      <c r="BJ43" s="276"/>
      <c r="BK43" s="529"/>
      <c r="BL43" s="276"/>
      <c r="BM43" s="276"/>
      <c r="BN43" s="276"/>
      <c r="BO43" s="276"/>
      <c r="BP43" s="529"/>
      <c r="BQ43" s="276"/>
      <c r="BR43" s="276"/>
      <c r="BS43" s="276"/>
      <c r="BT43" s="276"/>
      <c r="BU43" s="529"/>
      <c r="BV43" s="276"/>
      <c r="BW43" s="276"/>
      <c r="BX43" s="276"/>
      <c r="BY43" s="276"/>
      <c r="BZ43" s="529"/>
      <c r="CA43" s="276"/>
      <c r="CB43" s="276"/>
      <c r="CC43" s="276"/>
      <c r="CD43" s="276"/>
      <c r="CE43" s="529"/>
    </row>
    <row r="44" spans="1:83" ht="7.5" hidden="1" customHeight="1" outlineLevel="2">
      <c r="B44" s="273"/>
      <c r="C44" s="275"/>
      <c r="D44" s="276"/>
      <c r="E44" s="276"/>
      <c r="F44" s="276"/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529"/>
      <c r="S44" s="276"/>
      <c r="T44" s="276"/>
      <c r="U44" s="276"/>
      <c r="V44" s="276"/>
      <c r="W44" s="529"/>
      <c r="X44" s="276"/>
      <c r="Y44" s="276"/>
      <c r="Z44" s="276"/>
      <c r="AA44" s="276"/>
      <c r="AB44" s="529"/>
      <c r="AC44" s="276"/>
      <c r="AD44" s="276"/>
      <c r="AE44" s="276"/>
      <c r="AF44" s="276"/>
      <c r="AG44" s="529"/>
      <c r="AH44" s="276"/>
      <c r="AI44" s="276"/>
      <c r="AJ44" s="276"/>
      <c r="AK44" s="276"/>
      <c r="AL44" s="529"/>
      <c r="AM44" s="276"/>
      <c r="AN44" s="276"/>
      <c r="AO44" s="276"/>
      <c r="AP44" s="276"/>
      <c r="AQ44" s="529"/>
      <c r="AR44" s="276"/>
      <c r="AS44" s="276"/>
      <c r="AT44" s="276"/>
      <c r="AU44" s="276"/>
      <c r="AV44" s="529"/>
      <c r="AW44" s="276"/>
      <c r="AX44" s="276"/>
      <c r="AY44" s="276"/>
      <c r="AZ44" s="276"/>
      <c r="BA44" s="529"/>
      <c r="BB44" s="276"/>
      <c r="BC44" s="276"/>
      <c r="BD44" s="276"/>
      <c r="BE44" s="276"/>
      <c r="BF44" s="529"/>
      <c r="BG44" s="276"/>
      <c r="BH44" s="276"/>
      <c r="BI44" s="276"/>
      <c r="BJ44" s="276"/>
      <c r="BK44" s="529"/>
      <c r="BL44" s="276"/>
      <c r="BM44" s="276"/>
      <c r="BN44" s="276"/>
      <c r="BO44" s="276"/>
      <c r="BP44" s="529"/>
      <c r="BQ44" s="276"/>
      <c r="BR44" s="276"/>
      <c r="BS44" s="276"/>
      <c r="BT44" s="276"/>
      <c r="BU44" s="529"/>
      <c r="BV44" s="276"/>
      <c r="BW44" s="276"/>
      <c r="BX44" s="276"/>
      <c r="BY44" s="276"/>
      <c r="BZ44" s="529"/>
      <c r="CA44" s="276"/>
      <c r="CB44" s="276"/>
      <c r="CC44" s="276"/>
      <c r="CD44" s="276"/>
      <c r="CE44" s="529"/>
    </row>
    <row r="45" spans="1:83" hidden="1" outlineLevel="2">
      <c r="B45" s="273" t="s">
        <v>204</v>
      </c>
      <c r="C45" s="275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0"/>
      <c r="R45" s="530"/>
      <c r="S45" s="280"/>
      <c r="T45" s="280"/>
      <c r="U45" s="280"/>
      <c r="V45" s="280"/>
      <c r="W45" s="530"/>
      <c r="X45" s="280"/>
      <c r="Y45" s="280"/>
      <c r="Z45" s="280"/>
      <c r="AA45" s="280"/>
      <c r="AB45" s="530">
        <f>+BS!AB29</f>
        <v>114964</v>
      </c>
      <c r="AC45" s="280">
        <f>+BS!AC29</f>
        <v>120044</v>
      </c>
      <c r="AD45" s="280">
        <f>+BS!AD29</f>
        <v>124738</v>
      </c>
      <c r="AE45" s="280">
        <f>+BS!AE29</f>
        <v>132167</v>
      </c>
      <c r="AF45" s="280">
        <f>+BS!AF29</f>
        <v>143186</v>
      </c>
      <c r="AG45" s="530">
        <f>+BS!AG29</f>
        <v>143186</v>
      </c>
      <c r="AH45" s="280">
        <f>+BS!AH29</f>
        <v>147656</v>
      </c>
      <c r="AI45" s="280">
        <f>+BS!AI29</f>
        <v>151419</v>
      </c>
      <c r="AJ45" s="280">
        <f>+BS!AJ29</f>
        <v>155115</v>
      </c>
      <c r="AK45" s="280">
        <f>+BS!AK29</f>
        <v>164624</v>
      </c>
      <c r="AL45" s="530">
        <f>+BS!AL29</f>
        <v>164624</v>
      </c>
      <c r="AM45" s="280">
        <f>+BS!AM29</f>
        <v>174452</v>
      </c>
      <c r="AN45" s="280">
        <f>+BS!AN29</f>
        <v>176609</v>
      </c>
      <c r="AO45" s="280">
        <f>+BS!AO29</f>
        <v>180304</v>
      </c>
      <c r="AP45" s="280">
        <f>+BS!AP29</f>
        <v>192172</v>
      </c>
      <c r="AQ45" s="530">
        <f>+BS!AQ29</f>
        <v>192172</v>
      </c>
      <c r="AR45" s="280">
        <f>+BS!AR29</f>
        <v>201861</v>
      </c>
      <c r="AS45" s="280">
        <f>+BS!AS29</f>
        <v>199732</v>
      </c>
      <c r="AT45" s="280">
        <f>+BS!AT29</f>
        <v>200283</v>
      </c>
      <c r="AU45" s="280">
        <f>+BS!AU29</f>
        <v>213494</v>
      </c>
      <c r="AV45" s="530">
        <f>+BS!AV29</f>
        <v>213494</v>
      </c>
      <c r="AW45" s="280">
        <f>+BS!AW29</f>
        <v>218898</v>
      </c>
      <c r="AX45" s="280">
        <f>+BS!AX29</f>
        <v>228180</v>
      </c>
      <c r="AY45" s="280">
        <f>+BS!AY29</f>
        <v>237539</v>
      </c>
      <c r="AZ45" s="280">
        <f>+BS!AZ29</f>
        <v>257872</v>
      </c>
      <c r="BA45" s="530">
        <f>+BS!BA29</f>
        <v>257872</v>
      </c>
      <c r="BB45" s="280">
        <f>+BS!BB29</f>
        <v>266934</v>
      </c>
      <c r="BC45" s="280">
        <f>+BS!BC29</f>
        <v>275725</v>
      </c>
      <c r="BD45" s="280">
        <f>+BS!BD29</f>
        <v>278947</v>
      </c>
      <c r="BE45" s="280">
        <f>+BS!BE29</f>
        <v>293728</v>
      </c>
      <c r="BF45" s="530">
        <f>+BS!BF29</f>
        <v>293728</v>
      </c>
      <c r="BG45" s="280">
        <f>+BS!BG29</f>
        <v>296516</v>
      </c>
      <c r="BH45" s="280">
        <f>+BS!BH29</f>
        <v>302446</v>
      </c>
      <c r="BI45" s="280">
        <f>+BS!BI29</f>
        <v>307179</v>
      </c>
      <c r="BJ45" s="280">
        <f>+BS!BJ29</f>
        <v>333267</v>
      </c>
      <c r="BK45" s="530">
        <f>+BS!BK29</f>
        <v>333267</v>
      </c>
      <c r="BL45" s="280">
        <f>+BS!BL29</f>
        <v>332128</v>
      </c>
      <c r="BM45" s="280">
        <f>+BS!BM29</f>
        <v>324334</v>
      </c>
      <c r="BN45" s="280">
        <f>+BS!BN29</f>
        <v>337821</v>
      </c>
      <c r="BO45" s="280">
        <f>+BS!BO29</f>
        <v>371457</v>
      </c>
      <c r="BP45" s="530">
        <f>+BS!BP29</f>
        <v>371457</v>
      </c>
      <c r="BQ45" s="280">
        <f>+BS!BQ29</f>
        <v>366824</v>
      </c>
      <c r="BR45" s="280">
        <f>+BS!BR29</f>
        <v>354971</v>
      </c>
      <c r="BS45" s="280">
        <f>+BS!BS29</f>
        <v>371476</v>
      </c>
      <c r="BT45" s="280">
        <f>+BS!BT29</f>
        <v>401127</v>
      </c>
      <c r="BU45" s="530">
        <f>+BS!BU29</f>
        <v>401127</v>
      </c>
      <c r="BV45" s="280">
        <f>+BS!BV29</f>
        <v>396169.92000000004</v>
      </c>
      <c r="BW45" s="280">
        <f>+BS!BW29</f>
        <v>383368.68000000005</v>
      </c>
      <c r="BX45" s="280">
        <f>+BS!BX29</f>
        <v>401194.08</v>
      </c>
      <c r="BY45" s="280">
        <f>+BS!BY29</f>
        <v>431211.52499999997</v>
      </c>
      <c r="BZ45" s="530">
        <f>+BS!BZ29</f>
        <v>431211.52499999997</v>
      </c>
      <c r="CA45" s="280">
        <f>+BS!CA29</f>
        <v>423901.81440000009</v>
      </c>
      <c r="CB45" s="280">
        <f>+BS!CB29</f>
        <v>410204.48760000005</v>
      </c>
      <c r="CC45" s="280">
        <f>+BS!CC29</f>
        <v>429277.66560000007</v>
      </c>
      <c r="CD45" s="280">
        <f>+BS!CD29</f>
        <v>461396.33175000001</v>
      </c>
      <c r="CE45" s="530">
        <f>+BS!CE29</f>
        <v>461396.33175000001</v>
      </c>
    </row>
    <row r="46" spans="1:83" hidden="1" outlineLevel="2">
      <c r="B46" s="273"/>
      <c r="C46" s="275"/>
      <c r="D46" s="276"/>
      <c r="E46" s="276"/>
      <c r="F46" s="276"/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529"/>
      <c r="S46" s="276"/>
      <c r="T46" s="276"/>
      <c r="U46" s="276"/>
      <c r="V46" s="276"/>
      <c r="W46" s="529"/>
      <c r="X46" s="276"/>
      <c r="Y46" s="276"/>
      <c r="Z46" s="276"/>
      <c r="AA46" s="276"/>
      <c r="AB46" s="529"/>
      <c r="AC46" s="276"/>
      <c r="AD46" s="276"/>
      <c r="AE46" s="276"/>
      <c r="AF46" s="276"/>
      <c r="AG46" s="529"/>
      <c r="AH46" s="276"/>
      <c r="AI46" s="276"/>
      <c r="AJ46" s="276"/>
      <c r="AK46" s="276"/>
      <c r="AL46" s="529"/>
      <c r="AM46" s="276"/>
      <c r="AN46" s="276"/>
      <c r="AO46" s="276"/>
      <c r="AP46" s="276"/>
      <c r="AQ46" s="529"/>
      <c r="AR46" s="276"/>
      <c r="AS46" s="276"/>
      <c r="AT46" s="276"/>
      <c r="AU46" s="276"/>
      <c r="AV46" s="529"/>
      <c r="AW46" s="276"/>
      <c r="AX46" s="276"/>
      <c r="AY46" s="276"/>
      <c r="AZ46" s="276"/>
      <c r="BA46" s="529"/>
      <c r="BB46" s="276"/>
      <c r="BC46" s="276"/>
      <c r="BD46" s="276"/>
      <c r="BE46" s="276"/>
      <c r="BF46" s="529"/>
      <c r="BG46" s="276"/>
      <c r="BH46" s="276"/>
      <c r="BI46" s="276"/>
      <c r="BJ46" s="276"/>
      <c r="BK46" s="529"/>
      <c r="BL46" s="276"/>
      <c r="BM46" s="276"/>
      <c r="BN46" s="276"/>
      <c r="BO46" s="276"/>
      <c r="BP46" s="529"/>
      <c r="BQ46" s="276"/>
      <c r="BR46" s="276"/>
      <c r="BS46" s="276"/>
      <c r="BT46" s="276"/>
      <c r="BU46" s="529"/>
      <c r="BV46" s="276"/>
      <c r="BW46" s="276"/>
      <c r="BX46" s="276"/>
      <c r="BY46" s="276"/>
      <c r="BZ46" s="529"/>
      <c r="CA46" s="276"/>
      <c r="CB46" s="276"/>
      <c r="CC46" s="276"/>
      <c r="CD46" s="276"/>
      <c r="CE46" s="529"/>
    </row>
    <row r="47" spans="1:83" hidden="1" outlineLevel="2">
      <c r="B47" s="273" t="s">
        <v>205</v>
      </c>
      <c r="C47" s="275"/>
      <c r="D47" s="334"/>
      <c r="E47" s="334"/>
      <c r="F47" s="334"/>
      <c r="G47" s="334"/>
      <c r="H47" s="332"/>
      <c r="I47" s="334"/>
      <c r="J47" s="334"/>
      <c r="K47" s="334"/>
      <c r="L47" s="334"/>
      <c r="M47" s="332"/>
      <c r="N47" s="334"/>
      <c r="O47" s="334"/>
      <c r="P47" s="334"/>
      <c r="Q47" s="332"/>
      <c r="R47" s="543"/>
      <c r="S47" s="332"/>
      <c r="T47" s="332"/>
      <c r="U47" s="332"/>
      <c r="V47" s="332"/>
      <c r="W47" s="543"/>
      <c r="X47" s="332"/>
      <c r="Y47" s="332"/>
      <c r="Z47" s="332"/>
      <c r="AA47" s="332"/>
      <c r="AB47" s="543">
        <f>+BS!AB29/BS!W29-1</f>
        <v>0.17280285641418014</v>
      </c>
      <c r="AC47" s="332">
        <f>+BS!AC29/BS!X29-1</f>
        <v>0.18203570408735992</v>
      </c>
      <c r="AD47" s="332">
        <f>+BS!AD29/BS!Y29-1</f>
        <v>0.20225921178182804</v>
      </c>
      <c r="AE47" s="332">
        <f>+BS!AE29/BS!Z29-1</f>
        <v>0.21225212334672472</v>
      </c>
      <c r="AF47" s="332">
        <f>+BS!AF29/BS!AA29-1</f>
        <v>0.24548554330051142</v>
      </c>
      <c r="AG47" s="543">
        <f>+BS!AG29/BS!AB29-1</f>
        <v>0.24548554330051142</v>
      </c>
      <c r="AH47" s="332">
        <f>+BS!AH29/BS!AC29-1</f>
        <v>0.23001566092432779</v>
      </c>
      <c r="AI47" s="332">
        <f>+BS!AI29/BS!AD29-1</f>
        <v>0.21389632670076475</v>
      </c>
      <c r="AJ47" s="332">
        <f>+BS!AJ29/BS!AE29-1</f>
        <v>0.17362881808620911</v>
      </c>
      <c r="AK47" s="332">
        <f>+BS!AK29/BS!AF29-1</f>
        <v>0.14972134147193161</v>
      </c>
      <c r="AL47" s="543">
        <f>+BS!AL29/BS!AG29-1</f>
        <v>0.14972134147193161</v>
      </c>
      <c r="AM47" s="332">
        <f>+BS!AM29/BS!AH29-1</f>
        <v>0.18147586281627559</v>
      </c>
      <c r="AN47" s="332">
        <f>+BS!AN29/BS!AI29-1</f>
        <v>0.16635957178425431</v>
      </c>
      <c r="AO47" s="332">
        <f>+BS!AO29/BS!AJ29-1</f>
        <v>0.16238919511330296</v>
      </c>
      <c r="AP47" s="332">
        <f>+BS!AP29/BS!AK29-1</f>
        <v>0.16733890562736908</v>
      </c>
      <c r="AQ47" s="543">
        <f>+BS!AQ29/BS!AL29-1</f>
        <v>0.16733890562736908</v>
      </c>
      <c r="AR47" s="332">
        <f>+BS!AR29/BS!AM29-1</f>
        <v>0.15711485107651391</v>
      </c>
      <c r="AS47" s="332">
        <f>+BS!AS29/BS!AN29-1</f>
        <v>0.13092764241912924</v>
      </c>
      <c r="AT47" s="332">
        <f>+BS!AT29/BS!AO29-1</f>
        <v>0.11080730322122645</v>
      </c>
      <c r="AU47" s="332">
        <f>+BS!AU29/BS!AP29-1</f>
        <v>0.11095268821680571</v>
      </c>
      <c r="AV47" s="543">
        <f>+BS!AV29/BS!AQ29-1</f>
        <v>0.11095268821680571</v>
      </c>
      <c r="AW47" s="332">
        <f>+BS!BL29/BS!AR29-1</f>
        <v>0.64533020246605344</v>
      </c>
      <c r="AX47" s="332">
        <f>+BS!BM29/BS!AS29-1</f>
        <v>0.62384595357779427</v>
      </c>
      <c r="AY47" s="332">
        <f>+BS!BN29/BS!AT29-1</f>
        <v>0.68671829361453551</v>
      </c>
      <c r="AZ47" s="332">
        <f>+BS!BO29/BS!AU29-1</f>
        <v>0.73989432958303269</v>
      </c>
      <c r="BA47" s="543">
        <f>+BS!BP29/BS!AV29-1</f>
        <v>0.73989432958303269</v>
      </c>
      <c r="BB47" s="332">
        <f>+BS!BQ29/BS!AW29-1</f>
        <v>0.67577593216932086</v>
      </c>
      <c r="BC47" s="332">
        <f>+BS!BR29/BS!AX29-1</f>
        <v>0.55566219651152604</v>
      </c>
      <c r="BD47" s="332">
        <f>+BS!BS29/BS!AY29-1</f>
        <v>0.56385267261376026</v>
      </c>
      <c r="BE47" s="332">
        <f>+BS!BT29/BS!AZ29-1</f>
        <v>0.55552754855121922</v>
      </c>
      <c r="BF47" s="543">
        <f>+BS!BU29/BS!BA29-1</f>
        <v>0.55552754855121922</v>
      </c>
      <c r="BG47" s="332">
        <f>+BS!BV29/BS!BB29-1</f>
        <v>0.48414934028636303</v>
      </c>
      <c r="BH47" s="332">
        <f>+BS!BW29/BS!BC29-1</f>
        <v>0.39040232115332318</v>
      </c>
      <c r="BI47" s="332">
        <f>+BS!BX29/BS!BD29-1</f>
        <v>0.43824482787052754</v>
      </c>
      <c r="BJ47" s="332">
        <f>+BS!BY29/BS!BE29-1</f>
        <v>0.46806407628826663</v>
      </c>
      <c r="BK47" s="543">
        <f>+BS!BZ29/BS!BF29-1</f>
        <v>0.46806407628826663</v>
      </c>
      <c r="BL47" s="332">
        <f>+BS!CA29/BS!BG29-1</f>
        <v>0.4296085688462008</v>
      </c>
      <c r="BM47" s="332">
        <f>+BS!CB29/BS!BH29-1</f>
        <v>0.35629000747240847</v>
      </c>
      <c r="BN47" s="332">
        <f>+BS!CC29/BS!BI29-1</f>
        <v>0.39748376549178177</v>
      </c>
      <c r="BO47" s="332">
        <f>+BS!CD29/BS!BJ29-1</f>
        <v>0.38446450368623353</v>
      </c>
      <c r="BP47" s="543">
        <f>+BS!CE29/BS!BK29-1</f>
        <v>0.38446450368623353</v>
      </c>
      <c r="BQ47" s="332">
        <f>+BS!CF29/BS!BL29-1</f>
        <v>-1</v>
      </c>
      <c r="BR47" s="332">
        <f>+BS!CG29/BS!BM29-1</f>
        <v>-1</v>
      </c>
      <c r="BS47" s="332">
        <f>+BS!CH29/BS!BN29-1</f>
        <v>-1</v>
      </c>
      <c r="BT47" s="332">
        <f>+BS!CI29/BS!BO29-1</f>
        <v>-1</v>
      </c>
      <c r="BU47" s="543">
        <f>+BS!CJ29/BS!BP29-1</f>
        <v>-1</v>
      </c>
      <c r="BV47" s="332">
        <f>+BS!CK29/BS!BQ29-1</f>
        <v>-1</v>
      </c>
      <c r="BW47" s="332">
        <f>+BS!CL29/BS!BR29-1</f>
        <v>-1</v>
      </c>
      <c r="BX47" s="332">
        <f>+BS!CM29/BS!BS29-1</f>
        <v>-1</v>
      </c>
      <c r="BY47" s="332">
        <f>+BS!CN29/BS!BT29-1</f>
        <v>-1</v>
      </c>
      <c r="BZ47" s="543">
        <f>+BS!CO29/BS!BU29-1</f>
        <v>-1</v>
      </c>
      <c r="CA47" s="332">
        <f>+BS!CP29/BS!BV29-1</f>
        <v>-1</v>
      </c>
      <c r="CB47" s="332">
        <f>+BS!CQ29/BS!BW29-1</f>
        <v>-1</v>
      </c>
      <c r="CC47" s="332">
        <f>+BS!CR29/BS!BX29-1</f>
        <v>-1</v>
      </c>
      <c r="CD47" s="332">
        <f>+BS!CS29/BS!BY29-1</f>
        <v>-1</v>
      </c>
      <c r="CE47" s="543">
        <f>+BS!CT29/BS!BZ29-1</f>
        <v>-1</v>
      </c>
    </row>
    <row r="48" spans="1:83" hidden="1" outlineLevel="2">
      <c r="A48" s="121" t="s">
        <v>217</v>
      </c>
      <c r="B48" s="273" t="s">
        <v>295</v>
      </c>
      <c r="C48" s="275"/>
      <c r="D48" s="334"/>
      <c r="E48" s="334"/>
      <c r="F48" s="334"/>
      <c r="G48" s="334"/>
      <c r="H48" s="328"/>
      <c r="I48" s="334"/>
      <c r="J48" s="334"/>
      <c r="K48" s="334"/>
      <c r="L48" s="334"/>
      <c r="M48" s="328"/>
      <c r="N48" s="334"/>
      <c r="O48" s="334"/>
      <c r="P48" s="334"/>
      <c r="Q48" s="332"/>
      <c r="R48" s="540"/>
      <c r="S48" s="332"/>
      <c r="T48" s="332"/>
      <c r="U48" s="332"/>
      <c r="V48" s="332"/>
      <c r="W48" s="540"/>
      <c r="X48" s="332"/>
      <c r="Y48" s="332"/>
      <c r="Z48" s="332"/>
      <c r="AA48" s="332"/>
      <c r="AB48" s="545">
        <v>4.2000000000000003E-2</v>
      </c>
      <c r="AC48" s="329">
        <v>0</v>
      </c>
      <c r="AD48" s="329">
        <v>0</v>
      </c>
      <c r="AE48" s="329">
        <v>0</v>
      </c>
      <c r="AF48" s="329">
        <v>0</v>
      </c>
      <c r="AG48" s="540">
        <f>+AF48</f>
        <v>0</v>
      </c>
      <c r="AH48" s="329">
        <v>0</v>
      </c>
      <c r="AI48" s="329">
        <v>0</v>
      </c>
      <c r="AJ48" s="329">
        <v>0</v>
      </c>
      <c r="AK48" s="329">
        <v>0</v>
      </c>
      <c r="AL48" s="540">
        <f>+AK48</f>
        <v>0</v>
      </c>
      <c r="AM48" s="329">
        <v>0</v>
      </c>
      <c r="AN48" s="329">
        <f t="shared" ref="AN48:AQ49" si="201">+AM48</f>
        <v>0</v>
      </c>
      <c r="AO48" s="329">
        <f t="shared" si="201"/>
        <v>0</v>
      </c>
      <c r="AP48" s="329">
        <f t="shared" si="201"/>
        <v>0</v>
      </c>
      <c r="AQ48" s="540">
        <f t="shared" si="201"/>
        <v>0</v>
      </c>
      <c r="AR48" s="329">
        <f>+AP48</f>
        <v>0</v>
      </c>
      <c r="AS48" s="329">
        <f t="shared" ref="AS48:AV49" si="202">+AR48</f>
        <v>0</v>
      </c>
      <c r="AT48" s="329">
        <f t="shared" si="202"/>
        <v>0</v>
      </c>
      <c r="AU48" s="329">
        <f t="shared" si="202"/>
        <v>0</v>
      </c>
      <c r="AV48" s="540">
        <f t="shared" si="202"/>
        <v>0</v>
      </c>
      <c r="AW48" s="329">
        <f>+AU48</f>
        <v>0</v>
      </c>
      <c r="AX48" s="329">
        <f t="shared" ref="AX48:AX49" si="203">+AW48</f>
        <v>0</v>
      </c>
      <c r="AY48" s="329">
        <f t="shared" ref="AY48:AY49" si="204">+AX48</f>
        <v>0</v>
      </c>
      <c r="AZ48" s="329">
        <f t="shared" ref="AZ48:AZ49" si="205">+AY48</f>
        <v>0</v>
      </c>
      <c r="BA48" s="540">
        <f t="shared" ref="BA48:BA49" si="206">+AZ48</f>
        <v>0</v>
      </c>
      <c r="BB48" s="329">
        <f>+AZ48</f>
        <v>0</v>
      </c>
      <c r="BC48" s="329">
        <f t="shared" ref="BC48:BC49" si="207">+BB48</f>
        <v>0</v>
      </c>
      <c r="BD48" s="329">
        <f t="shared" ref="BD48:BD49" si="208">+BC48</f>
        <v>0</v>
      </c>
      <c r="BE48" s="329">
        <f t="shared" ref="BE48:BE49" si="209">+BD48</f>
        <v>0</v>
      </c>
      <c r="BF48" s="540">
        <f t="shared" ref="BF48:BF49" si="210">+BE48</f>
        <v>0</v>
      </c>
      <c r="BG48" s="329">
        <f>+BE48</f>
        <v>0</v>
      </c>
      <c r="BH48" s="329">
        <f t="shared" ref="BH48:BH49" si="211">+BG48</f>
        <v>0</v>
      </c>
      <c r="BI48" s="329">
        <f t="shared" ref="BI48:BI49" si="212">+BH48</f>
        <v>0</v>
      </c>
      <c r="BJ48" s="329">
        <f t="shared" ref="BJ48:BJ49" si="213">+BI48</f>
        <v>0</v>
      </c>
      <c r="BK48" s="540">
        <f t="shared" ref="BK48:BK49" si="214">+BJ48</f>
        <v>0</v>
      </c>
      <c r="BL48" s="329">
        <f>+BJ48</f>
        <v>0</v>
      </c>
      <c r="BM48" s="329">
        <f t="shared" ref="BM48:BM49" si="215">+BL48</f>
        <v>0</v>
      </c>
      <c r="BN48" s="329">
        <f t="shared" ref="BN48:BN49" si="216">+BM48</f>
        <v>0</v>
      </c>
      <c r="BO48" s="329">
        <f t="shared" ref="BO48:BO49" si="217">+BN48</f>
        <v>0</v>
      </c>
      <c r="BP48" s="540">
        <f t="shared" ref="BP48:BP49" si="218">+BO48</f>
        <v>0</v>
      </c>
      <c r="BQ48" s="329">
        <f>+BO48</f>
        <v>0</v>
      </c>
      <c r="BR48" s="329">
        <f t="shared" ref="BR48:BR49" si="219">+BQ48</f>
        <v>0</v>
      </c>
      <c r="BS48" s="329">
        <f t="shared" ref="BS48:BS49" si="220">+BR48</f>
        <v>0</v>
      </c>
      <c r="BT48" s="329">
        <f t="shared" ref="BT48:BT49" si="221">+BS48</f>
        <v>0</v>
      </c>
      <c r="BU48" s="540">
        <f t="shared" ref="BU48:BU49" si="222">+BT48</f>
        <v>0</v>
      </c>
      <c r="BV48" s="329">
        <f>+BT48</f>
        <v>0</v>
      </c>
      <c r="BW48" s="329">
        <f t="shared" ref="BW48:BW49" si="223">+BV48</f>
        <v>0</v>
      </c>
      <c r="BX48" s="329">
        <f t="shared" ref="BX48:BX49" si="224">+BW48</f>
        <v>0</v>
      </c>
      <c r="BY48" s="329">
        <f t="shared" ref="BY48:BY49" si="225">+BX48</f>
        <v>0</v>
      </c>
      <c r="BZ48" s="540">
        <f t="shared" ref="BZ48:BZ49" si="226">+BY48</f>
        <v>0</v>
      </c>
      <c r="CA48" s="329">
        <f>+BY48</f>
        <v>0</v>
      </c>
      <c r="CB48" s="329">
        <f t="shared" ref="CB48:CB49" si="227">+CA48</f>
        <v>0</v>
      </c>
      <c r="CC48" s="329">
        <f t="shared" ref="CC48:CC49" si="228">+CB48</f>
        <v>0</v>
      </c>
      <c r="CD48" s="329">
        <f t="shared" ref="CD48:CD49" si="229">+CC48</f>
        <v>0</v>
      </c>
      <c r="CE48" s="540">
        <f t="shared" ref="CE48:CE49" si="230">+CD48</f>
        <v>0</v>
      </c>
    </row>
    <row r="49" spans="1:83" hidden="1" outlineLevel="2">
      <c r="A49" s="121" t="s">
        <v>217</v>
      </c>
      <c r="B49" s="273" t="s">
        <v>206</v>
      </c>
      <c r="C49" s="275"/>
      <c r="D49" s="329"/>
      <c r="E49" s="329"/>
      <c r="F49" s="329"/>
      <c r="G49" s="329"/>
      <c r="H49" s="328"/>
      <c r="I49" s="329"/>
      <c r="J49" s="329"/>
      <c r="K49" s="329"/>
      <c r="L49" s="329"/>
      <c r="M49" s="328"/>
      <c r="N49" s="329"/>
      <c r="O49" s="329"/>
      <c r="P49" s="329"/>
      <c r="Q49" s="329"/>
      <c r="R49" s="540"/>
      <c r="S49" s="329"/>
      <c r="T49" s="329"/>
      <c r="U49" s="329"/>
      <c r="V49" s="329"/>
      <c r="W49" s="540"/>
      <c r="X49" s="329"/>
      <c r="Y49" s="329"/>
      <c r="Z49" s="329"/>
      <c r="AA49" s="329"/>
      <c r="AB49" s="545">
        <v>1.2E-2</v>
      </c>
      <c r="AC49" s="329">
        <v>1.2999999999999999E-2</v>
      </c>
      <c r="AD49" s="329">
        <v>1.3299999999999999E-2</v>
      </c>
      <c r="AE49" s="329">
        <v>7.0000000000000001E-3</v>
      </c>
      <c r="AF49" s="329">
        <v>-6.0000000000000001E-3</v>
      </c>
      <c r="AG49" s="540">
        <f>+AF49</f>
        <v>-6.0000000000000001E-3</v>
      </c>
      <c r="AH49" s="329">
        <v>0</v>
      </c>
      <c r="AI49" s="329">
        <v>0</v>
      </c>
      <c r="AJ49" s="329">
        <v>0</v>
      </c>
      <c r="AK49" s="329">
        <v>0</v>
      </c>
      <c r="AL49" s="540">
        <f>+AK49</f>
        <v>0</v>
      </c>
      <c r="AM49" s="329">
        <v>0</v>
      </c>
      <c r="AN49" s="329">
        <f t="shared" si="201"/>
        <v>0</v>
      </c>
      <c r="AO49" s="329">
        <f t="shared" si="201"/>
        <v>0</v>
      </c>
      <c r="AP49" s="329">
        <f t="shared" si="201"/>
        <v>0</v>
      </c>
      <c r="AQ49" s="540">
        <f t="shared" si="201"/>
        <v>0</v>
      </c>
      <c r="AR49" s="329">
        <f>+AP49</f>
        <v>0</v>
      </c>
      <c r="AS49" s="329">
        <f t="shared" si="202"/>
        <v>0</v>
      </c>
      <c r="AT49" s="329">
        <f t="shared" si="202"/>
        <v>0</v>
      </c>
      <c r="AU49" s="329">
        <f t="shared" si="202"/>
        <v>0</v>
      </c>
      <c r="AV49" s="540">
        <f t="shared" si="202"/>
        <v>0</v>
      </c>
      <c r="AW49" s="329">
        <f>+AU49</f>
        <v>0</v>
      </c>
      <c r="AX49" s="329">
        <f t="shared" si="203"/>
        <v>0</v>
      </c>
      <c r="AY49" s="329">
        <f t="shared" si="204"/>
        <v>0</v>
      </c>
      <c r="AZ49" s="329">
        <f t="shared" si="205"/>
        <v>0</v>
      </c>
      <c r="BA49" s="540">
        <f t="shared" si="206"/>
        <v>0</v>
      </c>
      <c r="BB49" s="329">
        <f>+AZ49</f>
        <v>0</v>
      </c>
      <c r="BC49" s="329">
        <f t="shared" si="207"/>
        <v>0</v>
      </c>
      <c r="BD49" s="329">
        <f t="shared" si="208"/>
        <v>0</v>
      </c>
      <c r="BE49" s="329">
        <f t="shared" si="209"/>
        <v>0</v>
      </c>
      <c r="BF49" s="540">
        <f t="shared" si="210"/>
        <v>0</v>
      </c>
      <c r="BG49" s="329">
        <f>+BE49</f>
        <v>0</v>
      </c>
      <c r="BH49" s="329">
        <f t="shared" si="211"/>
        <v>0</v>
      </c>
      <c r="BI49" s="329">
        <f t="shared" si="212"/>
        <v>0</v>
      </c>
      <c r="BJ49" s="329">
        <f t="shared" si="213"/>
        <v>0</v>
      </c>
      <c r="BK49" s="540">
        <f t="shared" si="214"/>
        <v>0</v>
      </c>
      <c r="BL49" s="329">
        <f>+BJ49</f>
        <v>0</v>
      </c>
      <c r="BM49" s="329">
        <f t="shared" si="215"/>
        <v>0</v>
      </c>
      <c r="BN49" s="329">
        <f t="shared" si="216"/>
        <v>0</v>
      </c>
      <c r="BO49" s="329">
        <f t="shared" si="217"/>
        <v>0</v>
      </c>
      <c r="BP49" s="540">
        <f t="shared" si="218"/>
        <v>0</v>
      </c>
      <c r="BQ49" s="329">
        <f>+BO49</f>
        <v>0</v>
      </c>
      <c r="BR49" s="329">
        <f t="shared" si="219"/>
        <v>0</v>
      </c>
      <c r="BS49" s="329">
        <f t="shared" si="220"/>
        <v>0</v>
      </c>
      <c r="BT49" s="329">
        <f t="shared" si="221"/>
        <v>0</v>
      </c>
      <c r="BU49" s="540">
        <f t="shared" si="222"/>
        <v>0</v>
      </c>
      <c r="BV49" s="329">
        <f>+BT49</f>
        <v>0</v>
      </c>
      <c r="BW49" s="329">
        <f t="shared" si="223"/>
        <v>0</v>
      </c>
      <c r="BX49" s="329">
        <f t="shared" si="224"/>
        <v>0</v>
      </c>
      <c r="BY49" s="329">
        <f t="shared" si="225"/>
        <v>0</v>
      </c>
      <c r="BZ49" s="540">
        <f t="shared" si="226"/>
        <v>0</v>
      </c>
      <c r="CA49" s="329">
        <f>+BY49</f>
        <v>0</v>
      </c>
      <c r="CB49" s="329">
        <f t="shared" si="227"/>
        <v>0</v>
      </c>
      <c r="CC49" s="329">
        <f t="shared" si="228"/>
        <v>0</v>
      </c>
      <c r="CD49" s="329">
        <f t="shared" si="229"/>
        <v>0</v>
      </c>
      <c r="CE49" s="540">
        <f t="shared" si="230"/>
        <v>0</v>
      </c>
    </row>
    <row r="50" spans="1:83" ht="6" hidden="1" customHeight="1" outlineLevel="2">
      <c r="B50" s="273"/>
      <c r="C50" s="275"/>
      <c r="D50" s="330" t="s">
        <v>0</v>
      </c>
      <c r="E50" s="330" t="s">
        <v>0</v>
      </c>
      <c r="F50" s="330" t="s">
        <v>0</v>
      </c>
      <c r="G50" s="330" t="s">
        <v>0</v>
      </c>
      <c r="H50" s="330" t="s">
        <v>0</v>
      </c>
      <c r="I50" s="330" t="s">
        <v>0</v>
      </c>
      <c r="J50" s="330" t="s">
        <v>0</v>
      </c>
      <c r="K50" s="330" t="s">
        <v>0</v>
      </c>
      <c r="L50" s="330" t="s">
        <v>0</v>
      </c>
      <c r="M50" s="330" t="s">
        <v>0</v>
      </c>
      <c r="N50" s="330" t="s">
        <v>0</v>
      </c>
      <c r="O50" s="330" t="s">
        <v>0</v>
      </c>
      <c r="P50" s="330" t="s">
        <v>0</v>
      </c>
      <c r="Q50" s="330" t="s">
        <v>0</v>
      </c>
      <c r="R50" s="541" t="s">
        <v>0</v>
      </c>
      <c r="S50" s="330" t="s">
        <v>0</v>
      </c>
      <c r="T50" s="330" t="s">
        <v>0</v>
      </c>
      <c r="U50" s="330" t="s">
        <v>0</v>
      </c>
      <c r="V50" s="330" t="s">
        <v>0</v>
      </c>
      <c r="W50" s="541" t="s">
        <v>0</v>
      </c>
      <c r="X50" s="330" t="s">
        <v>0</v>
      </c>
      <c r="Y50" s="330" t="s">
        <v>0</v>
      </c>
      <c r="Z50" s="330" t="s">
        <v>0</v>
      </c>
      <c r="AA50" s="330" t="s">
        <v>0</v>
      </c>
      <c r="AB50" s="541" t="s">
        <v>0</v>
      </c>
      <c r="AC50" s="330" t="s">
        <v>0</v>
      </c>
      <c r="AD50" s="330" t="s">
        <v>0</v>
      </c>
      <c r="AE50" s="330" t="s">
        <v>0</v>
      </c>
      <c r="AF50" s="330" t="s">
        <v>0</v>
      </c>
      <c r="AG50" s="541" t="s">
        <v>0</v>
      </c>
      <c r="AH50" s="330" t="s">
        <v>0</v>
      </c>
      <c r="AI50" s="330" t="s">
        <v>0</v>
      </c>
      <c r="AJ50" s="330" t="s">
        <v>0</v>
      </c>
      <c r="AK50" s="330" t="s">
        <v>0</v>
      </c>
      <c r="AL50" s="541" t="s">
        <v>0</v>
      </c>
      <c r="AM50" s="330" t="s">
        <v>0</v>
      </c>
      <c r="AN50" s="330" t="s">
        <v>0</v>
      </c>
      <c r="AO50" s="330" t="s">
        <v>0</v>
      </c>
      <c r="AP50" s="330" t="s">
        <v>0</v>
      </c>
      <c r="AQ50" s="541" t="s">
        <v>0</v>
      </c>
      <c r="AR50" s="330" t="s">
        <v>0</v>
      </c>
      <c r="AS50" s="330" t="s">
        <v>0</v>
      </c>
      <c r="AT50" s="330" t="s">
        <v>0</v>
      </c>
      <c r="AU50" s="330" t="s">
        <v>0</v>
      </c>
      <c r="AV50" s="541" t="s">
        <v>0</v>
      </c>
      <c r="AW50" s="330" t="s">
        <v>0</v>
      </c>
      <c r="AX50" s="330" t="s">
        <v>0</v>
      </c>
      <c r="AY50" s="330" t="s">
        <v>0</v>
      </c>
      <c r="AZ50" s="330" t="s">
        <v>0</v>
      </c>
      <c r="BA50" s="541" t="s">
        <v>0</v>
      </c>
      <c r="BB50" s="330" t="s">
        <v>0</v>
      </c>
      <c r="BC50" s="330" t="s">
        <v>0</v>
      </c>
      <c r="BD50" s="330" t="s">
        <v>0</v>
      </c>
      <c r="BE50" s="330" t="s">
        <v>0</v>
      </c>
      <c r="BF50" s="541" t="s">
        <v>0</v>
      </c>
      <c r="BG50" s="330" t="s">
        <v>0</v>
      </c>
      <c r="BH50" s="330" t="s">
        <v>0</v>
      </c>
      <c r="BI50" s="330" t="s">
        <v>0</v>
      </c>
      <c r="BJ50" s="330" t="s">
        <v>0</v>
      </c>
      <c r="BK50" s="541" t="s">
        <v>0</v>
      </c>
      <c r="BL50" s="330" t="s">
        <v>0</v>
      </c>
      <c r="BM50" s="330" t="s">
        <v>0</v>
      </c>
      <c r="BN50" s="330" t="s">
        <v>0</v>
      </c>
      <c r="BO50" s="330" t="s">
        <v>0</v>
      </c>
      <c r="BP50" s="541" t="s">
        <v>0</v>
      </c>
      <c r="BQ50" s="330" t="s">
        <v>0</v>
      </c>
      <c r="BR50" s="330" t="s">
        <v>0</v>
      </c>
      <c r="BS50" s="330" t="s">
        <v>0</v>
      </c>
      <c r="BT50" s="330" t="s">
        <v>0</v>
      </c>
      <c r="BU50" s="541" t="s">
        <v>0</v>
      </c>
      <c r="BV50" s="330" t="s">
        <v>0</v>
      </c>
      <c r="BW50" s="330" t="s">
        <v>0</v>
      </c>
      <c r="BX50" s="330" t="s">
        <v>0</v>
      </c>
      <c r="BY50" s="330" t="s">
        <v>0</v>
      </c>
      <c r="BZ50" s="541" t="s">
        <v>0</v>
      </c>
      <c r="CA50" s="330" t="s">
        <v>0</v>
      </c>
      <c r="CB50" s="330" t="s">
        <v>0</v>
      </c>
      <c r="CC50" s="330" t="s">
        <v>0</v>
      </c>
      <c r="CD50" s="330" t="s">
        <v>0</v>
      </c>
      <c r="CE50" s="541" t="s">
        <v>0</v>
      </c>
    </row>
    <row r="51" spans="1:83" s="308" customFormat="1" hidden="1" outlineLevel="2">
      <c r="B51" s="274" t="s">
        <v>207</v>
      </c>
      <c r="C51" s="289"/>
      <c r="D51" s="333">
        <f>+D47+D49+D48</f>
        <v>0</v>
      </c>
      <c r="E51" s="333">
        <f t="shared" ref="E51:H51" si="231">+E47+E49+E48</f>
        <v>0</v>
      </c>
      <c r="F51" s="333">
        <f t="shared" si="231"/>
        <v>0</v>
      </c>
      <c r="G51" s="333">
        <f t="shared" si="231"/>
        <v>0</v>
      </c>
      <c r="H51" s="333">
        <f t="shared" si="231"/>
        <v>0</v>
      </c>
      <c r="I51" s="333">
        <f>+I47+I49+I48</f>
        <v>0</v>
      </c>
      <c r="J51" s="333">
        <f t="shared" ref="J51:AL51" si="232">+J47+J49+J48</f>
        <v>0</v>
      </c>
      <c r="K51" s="333">
        <f t="shared" si="232"/>
        <v>0</v>
      </c>
      <c r="L51" s="333">
        <f t="shared" si="232"/>
        <v>0</v>
      </c>
      <c r="M51" s="333">
        <f t="shared" si="232"/>
        <v>0</v>
      </c>
      <c r="N51" s="333">
        <f t="shared" si="232"/>
        <v>0</v>
      </c>
      <c r="O51" s="333">
        <f t="shared" si="232"/>
        <v>0</v>
      </c>
      <c r="P51" s="333">
        <f t="shared" si="232"/>
        <v>0</v>
      </c>
      <c r="Q51" s="333">
        <f t="shared" si="232"/>
        <v>0</v>
      </c>
      <c r="R51" s="544">
        <f t="shared" si="232"/>
        <v>0</v>
      </c>
      <c r="S51" s="333">
        <f t="shared" si="232"/>
        <v>0</v>
      </c>
      <c r="T51" s="333">
        <f t="shared" si="232"/>
        <v>0</v>
      </c>
      <c r="U51" s="333">
        <f t="shared" si="232"/>
        <v>0</v>
      </c>
      <c r="V51" s="333">
        <f t="shared" si="232"/>
        <v>0</v>
      </c>
      <c r="W51" s="544">
        <f t="shared" si="232"/>
        <v>0</v>
      </c>
      <c r="X51" s="333">
        <f t="shared" si="232"/>
        <v>0</v>
      </c>
      <c r="Y51" s="333">
        <f t="shared" si="232"/>
        <v>0</v>
      </c>
      <c r="Z51" s="333">
        <f t="shared" si="232"/>
        <v>0</v>
      </c>
      <c r="AA51" s="333">
        <f t="shared" si="232"/>
        <v>0</v>
      </c>
      <c r="AB51" s="544">
        <f t="shared" si="232"/>
        <v>0.22680285641418016</v>
      </c>
      <c r="AC51" s="333">
        <f t="shared" si="232"/>
        <v>0.19503570408735993</v>
      </c>
      <c r="AD51" s="333">
        <f t="shared" si="232"/>
        <v>0.21555921178182805</v>
      </c>
      <c r="AE51" s="333">
        <f t="shared" si="232"/>
        <v>0.21925212334672473</v>
      </c>
      <c r="AF51" s="333">
        <f t="shared" si="232"/>
        <v>0.23948554330051142</v>
      </c>
      <c r="AG51" s="544">
        <f t="shared" si="232"/>
        <v>0.23948554330051142</v>
      </c>
      <c r="AH51" s="333">
        <f t="shared" si="232"/>
        <v>0.23001566092432779</v>
      </c>
      <c r="AI51" s="333">
        <f t="shared" si="232"/>
        <v>0.21389632670076475</v>
      </c>
      <c r="AJ51" s="333">
        <f t="shared" si="232"/>
        <v>0.17362881808620911</v>
      </c>
      <c r="AK51" s="333">
        <f t="shared" si="232"/>
        <v>0.14972134147193161</v>
      </c>
      <c r="AL51" s="544">
        <f t="shared" si="232"/>
        <v>0.14972134147193161</v>
      </c>
      <c r="AM51" s="333">
        <f t="shared" ref="AM51:AQ51" si="233">+AM47+AM49+AM48</f>
        <v>0.18147586281627559</v>
      </c>
      <c r="AN51" s="333">
        <f t="shared" si="233"/>
        <v>0.16635957178425431</v>
      </c>
      <c r="AO51" s="333">
        <f t="shared" si="233"/>
        <v>0.16238919511330296</v>
      </c>
      <c r="AP51" s="333">
        <f t="shared" si="233"/>
        <v>0.16733890562736908</v>
      </c>
      <c r="AQ51" s="544">
        <f t="shared" si="233"/>
        <v>0.16733890562736908</v>
      </c>
      <c r="AR51" s="333">
        <f t="shared" ref="AR51:AV51" si="234">+AR47+AR49+AR48</f>
        <v>0.15711485107651391</v>
      </c>
      <c r="AS51" s="333">
        <f t="shared" si="234"/>
        <v>0.13092764241912924</v>
      </c>
      <c r="AT51" s="333">
        <f t="shared" si="234"/>
        <v>0.11080730322122645</v>
      </c>
      <c r="AU51" s="333">
        <f t="shared" si="234"/>
        <v>0.11095268821680571</v>
      </c>
      <c r="AV51" s="544">
        <f t="shared" si="234"/>
        <v>0.11095268821680571</v>
      </c>
      <c r="AW51" s="333">
        <f t="shared" ref="AW51:BA51" si="235">+AW47+AW49+AW48</f>
        <v>0.64533020246605344</v>
      </c>
      <c r="AX51" s="333">
        <f t="shared" si="235"/>
        <v>0.62384595357779427</v>
      </c>
      <c r="AY51" s="333">
        <f t="shared" si="235"/>
        <v>0.68671829361453551</v>
      </c>
      <c r="AZ51" s="333">
        <f t="shared" si="235"/>
        <v>0.73989432958303269</v>
      </c>
      <c r="BA51" s="544">
        <f t="shared" si="235"/>
        <v>0.73989432958303269</v>
      </c>
      <c r="BB51" s="333">
        <f t="shared" ref="BB51:BF51" si="236">+BB47+BB49+BB48</f>
        <v>0.67577593216932086</v>
      </c>
      <c r="BC51" s="333">
        <f t="shared" si="236"/>
        <v>0.55566219651152604</v>
      </c>
      <c r="BD51" s="333">
        <f t="shared" si="236"/>
        <v>0.56385267261376026</v>
      </c>
      <c r="BE51" s="333">
        <f t="shared" si="236"/>
        <v>0.55552754855121922</v>
      </c>
      <c r="BF51" s="544">
        <f t="shared" si="236"/>
        <v>0.55552754855121922</v>
      </c>
      <c r="BG51" s="333">
        <f t="shared" ref="BG51:BK51" si="237">+BG47+BG49+BG48</f>
        <v>0.48414934028636303</v>
      </c>
      <c r="BH51" s="333">
        <f t="shared" si="237"/>
        <v>0.39040232115332318</v>
      </c>
      <c r="BI51" s="333">
        <f t="shared" si="237"/>
        <v>0.43824482787052754</v>
      </c>
      <c r="BJ51" s="333">
        <f t="shared" si="237"/>
        <v>0.46806407628826663</v>
      </c>
      <c r="BK51" s="544">
        <f t="shared" si="237"/>
        <v>0.46806407628826663</v>
      </c>
      <c r="BL51" s="333">
        <f t="shared" ref="BL51:BP51" si="238">+BL47+BL49+BL48</f>
        <v>0.4296085688462008</v>
      </c>
      <c r="BM51" s="333">
        <f t="shared" si="238"/>
        <v>0.35629000747240847</v>
      </c>
      <c r="BN51" s="333">
        <f t="shared" si="238"/>
        <v>0.39748376549178177</v>
      </c>
      <c r="BO51" s="333">
        <f t="shared" si="238"/>
        <v>0.38446450368623353</v>
      </c>
      <c r="BP51" s="544">
        <f t="shared" si="238"/>
        <v>0.38446450368623353</v>
      </c>
      <c r="BQ51" s="333">
        <f t="shared" ref="BQ51:BU51" si="239">+BQ47+BQ49+BQ48</f>
        <v>-1</v>
      </c>
      <c r="BR51" s="333">
        <f t="shared" si="239"/>
        <v>-1</v>
      </c>
      <c r="BS51" s="333">
        <f t="shared" si="239"/>
        <v>-1</v>
      </c>
      <c r="BT51" s="333">
        <f t="shared" si="239"/>
        <v>-1</v>
      </c>
      <c r="BU51" s="544">
        <f t="shared" si="239"/>
        <v>-1</v>
      </c>
      <c r="BV51" s="333">
        <f t="shared" ref="BV51:BZ51" si="240">+BV47+BV49+BV48</f>
        <v>-1</v>
      </c>
      <c r="BW51" s="333">
        <f t="shared" si="240"/>
        <v>-1</v>
      </c>
      <c r="BX51" s="333">
        <f t="shared" si="240"/>
        <v>-1</v>
      </c>
      <c r="BY51" s="333">
        <f t="shared" si="240"/>
        <v>-1</v>
      </c>
      <c r="BZ51" s="544">
        <f t="shared" si="240"/>
        <v>-1</v>
      </c>
      <c r="CA51" s="333">
        <f t="shared" ref="CA51:CE51" si="241">+CA47+CA49+CA48</f>
        <v>-1</v>
      </c>
      <c r="CB51" s="333">
        <f t="shared" si="241"/>
        <v>-1</v>
      </c>
      <c r="CC51" s="333">
        <f t="shared" si="241"/>
        <v>-1</v>
      </c>
      <c r="CD51" s="333">
        <f t="shared" si="241"/>
        <v>-1</v>
      </c>
      <c r="CE51" s="544">
        <f t="shared" si="241"/>
        <v>-1</v>
      </c>
    </row>
    <row r="52" spans="1:83" hidden="1" outlineLevel="2">
      <c r="B52" s="273"/>
      <c r="C52" s="275"/>
      <c r="D52" s="276"/>
      <c r="E52" s="276"/>
      <c r="F52" s="276"/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  <c r="AA52" s="276"/>
      <c r="AB52" s="276"/>
      <c r="AC52" s="276"/>
      <c r="AD52" s="276"/>
      <c r="AE52" s="276"/>
      <c r="AF52" s="276"/>
      <c r="AG52" s="276"/>
      <c r="AH52" s="276"/>
      <c r="AI52" s="276"/>
      <c r="AJ52" s="276"/>
      <c r="AK52" s="276"/>
      <c r="AL52" s="276"/>
      <c r="AM52" s="276"/>
      <c r="AN52" s="276"/>
      <c r="AO52" s="276"/>
      <c r="AP52" s="276"/>
      <c r="AQ52" s="276"/>
      <c r="AR52" s="276"/>
      <c r="AS52" s="276"/>
      <c r="AT52" s="276"/>
      <c r="AU52" s="276"/>
      <c r="AV52" s="276"/>
      <c r="AW52" s="276"/>
      <c r="AX52" s="276"/>
      <c r="AY52" s="276"/>
      <c r="AZ52" s="276"/>
      <c r="BA52" s="276"/>
      <c r="BB52" s="276"/>
      <c r="BC52" s="276"/>
      <c r="BD52" s="276"/>
      <c r="BE52" s="276"/>
      <c r="BF52" s="276"/>
      <c r="BG52" s="276"/>
      <c r="BH52" s="276"/>
      <c r="BI52" s="276"/>
      <c r="BJ52" s="276"/>
      <c r="BK52" s="276"/>
      <c r="BL52" s="276"/>
      <c r="BM52" s="276"/>
      <c r="BN52" s="276"/>
      <c r="BO52" s="276"/>
      <c r="BP52" s="276"/>
      <c r="BQ52" s="276"/>
      <c r="BR52" s="276"/>
      <c r="BS52" s="276"/>
      <c r="BT52" s="276"/>
      <c r="BU52" s="276"/>
      <c r="BV52" s="276"/>
      <c r="BW52" s="276"/>
      <c r="BX52" s="276"/>
      <c r="BY52" s="276"/>
      <c r="BZ52" s="276"/>
      <c r="CA52" s="276"/>
      <c r="CB52" s="276"/>
      <c r="CC52" s="276"/>
      <c r="CD52" s="276"/>
      <c r="CE52" s="276"/>
    </row>
    <row r="53" spans="1:83" hidden="1" outlineLevel="2">
      <c r="B53" s="274"/>
      <c r="C53" s="275"/>
      <c r="D53" s="276"/>
      <c r="E53" s="276"/>
      <c r="F53" s="276"/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  <c r="AA53" s="276"/>
      <c r="AB53" s="276"/>
      <c r="AC53" s="276"/>
      <c r="AD53" s="276"/>
      <c r="AE53" s="276"/>
      <c r="AF53" s="276"/>
      <c r="AG53" s="276"/>
      <c r="AH53" s="276"/>
      <c r="AI53" s="276"/>
      <c r="AJ53" s="276"/>
      <c r="AK53" s="276"/>
      <c r="AL53" s="276"/>
      <c r="AM53" s="276"/>
      <c r="AN53" s="276"/>
      <c r="AO53" s="276"/>
      <c r="AP53" s="276"/>
      <c r="AQ53" s="276"/>
      <c r="AR53" s="276"/>
      <c r="AS53" s="276"/>
      <c r="AT53" s="276"/>
      <c r="AU53" s="276"/>
      <c r="AV53" s="276"/>
      <c r="AW53" s="276"/>
      <c r="AX53" s="276"/>
      <c r="AY53" s="276"/>
      <c r="AZ53" s="276"/>
      <c r="BA53" s="276"/>
      <c r="BB53" s="276"/>
      <c r="BC53" s="276"/>
      <c r="BD53" s="276"/>
      <c r="BE53" s="276"/>
      <c r="BF53" s="276"/>
      <c r="BG53" s="276"/>
      <c r="BH53" s="276"/>
      <c r="BI53" s="276"/>
      <c r="BJ53" s="276"/>
      <c r="BK53" s="276"/>
      <c r="BL53" s="276"/>
      <c r="BM53" s="276"/>
      <c r="BN53" s="276"/>
      <c r="BO53" s="276"/>
      <c r="BP53" s="276"/>
      <c r="BQ53" s="276"/>
      <c r="BR53" s="276"/>
      <c r="BS53" s="276"/>
      <c r="BT53" s="276"/>
      <c r="BU53" s="276"/>
      <c r="BV53" s="276"/>
      <c r="BW53" s="276"/>
      <c r="BX53" s="276"/>
      <c r="BY53" s="276"/>
      <c r="BZ53" s="276"/>
      <c r="CA53" s="276"/>
      <c r="CB53" s="276"/>
      <c r="CC53" s="276"/>
      <c r="CD53" s="276"/>
      <c r="CE53" s="276"/>
    </row>
    <row r="54" spans="1:83" ht="14.65" hidden="1" outlineLevel="2" thickBot="1">
      <c r="B54" s="197" t="s">
        <v>167</v>
      </c>
      <c r="C54" s="284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P54" s="285"/>
      <c r="Q54" s="285"/>
      <c r="R54" s="285"/>
      <c r="S54" s="285"/>
      <c r="T54" s="285"/>
      <c r="U54" s="285"/>
      <c r="V54" s="285"/>
      <c r="W54" s="285"/>
      <c r="X54" s="285"/>
      <c r="Y54" s="285"/>
      <c r="Z54" s="285"/>
      <c r="AA54" s="285"/>
      <c r="AB54" s="285"/>
      <c r="AC54" s="285"/>
      <c r="AD54" s="285"/>
      <c r="AE54" s="285"/>
      <c r="AF54" s="285"/>
      <c r="AG54" s="285"/>
      <c r="AH54" s="285"/>
      <c r="AI54" s="285"/>
      <c r="AJ54" s="285"/>
      <c r="AK54" s="285"/>
      <c r="AL54" s="285"/>
      <c r="AM54" s="285"/>
      <c r="AN54" s="285"/>
      <c r="AO54" s="285"/>
      <c r="AP54" s="285"/>
      <c r="AQ54" s="285"/>
      <c r="AR54" s="285"/>
      <c r="AS54" s="285"/>
      <c r="AT54" s="285"/>
      <c r="AU54" s="285"/>
      <c r="AV54" s="285"/>
      <c r="AW54" s="285"/>
      <c r="AX54" s="285"/>
      <c r="AY54" s="285"/>
      <c r="AZ54" s="285"/>
      <c r="BA54" s="285"/>
      <c r="BB54" s="285"/>
      <c r="BC54" s="285"/>
      <c r="BD54" s="285"/>
      <c r="BE54" s="285"/>
      <c r="BF54" s="285"/>
      <c r="BG54" s="285"/>
      <c r="BH54" s="285"/>
      <c r="BI54" s="285"/>
      <c r="BJ54" s="285"/>
      <c r="BK54" s="285"/>
      <c r="BL54" s="285"/>
      <c r="BM54" s="285"/>
      <c r="BN54" s="285"/>
      <c r="BO54" s="285"/>
      <c r="BP54" s="285"/>
      <c r="BQ54" s="285"/>
      <c r="BR54" s="285"/>
      <c r="BS54" s="285"/>
      <c r="BT54" s="285"/>
      <c r="BU54" s="285"/>
      <c r="BV54" s="285"/>
      <c r="BW54" s="285"/>
      <c r="BX54" s="285"/>
      <c r="BY54" s="285"/>
      <c r="BZ54" s="285"/>
      <c r="CA54" s="285"/>
      <c r="CB54" s="285"/>
      <c r="CC54" s="285"/>
      <c r="CD54" s="285"/>
      <c r="CE54" s="285"/>
    </row>
    <row r="55" spans="1:83" hidden="1" outlineLevel="2">
      <c r="B55" s="286"/>
      <c r="C55" s="286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  <c r="U55" s="287"/>
      <c r="V55" s="287"/>
      <c r="W55" s="287"/>
      <c r="X55" s="287"/>
      <c r="Y55" s="287"/>
      <c r="Z55" s="287"/>
      <c r="AA55" s="287"/>
      <c r="AB55" s="287"/>
      <c r="AC55" s="287"/>
      <c r="AD55" s="287"/>
      <c r="AE55" s="287"/>
      <c r="AF55" s="287"/>
      <c r="AG55" s="287"/>
      <c r="AH55" s="287"/>
      <c r="AI55" s="287"/>
      <c r="AJ55" s="287"/>
      <c r="AK55" s="287"/>
      <c r="AL55" s="287"/>
      <c r="AM55" s="287"/>
      <c r="AN55" s="287"/>
      <c r="AO55" s="287"/>
      <c r="AP55" s="287"/>
      <c r="AQ55" s="287"/>
      <c r="AR55" s="287"/>
      <c r="AS55" s="287"/>
      <c r="AT55" s="287"/>
      <c r="AU55" s="287"/>
      <c r="AV55" s="287"/>
      <c r="AW55" s="287"/>
      <c r="AX55" s="287"/>
      <c r="AY55" s="287"/>
      <c r="AZ55" s="287"/>
      <c r="BA55" s="287"/>
      <c r="BB55" s="287"/>
      <c r="BC55" s="287"/>
      <c r="BD55" s="287"/>
      <c r="BE55" s="287"/>
      <c r="BF55" s="287"/>
      <c r="BG55" s="287"/>
      <c r="BH55" s="287"/>
      <c r="BI55" s="287"/>
      <c r="BJ55" s="287"/>
      <c r="BK55" s="287"/>
      <c r="BL55" s="287"/>
      <c r="BM55" s="287"/>
      <c r="BN55" s="287"/>
      <c r="BO55" s="287"/>
      <c r="BP55" s="287"/>
      <c r="BQ55" s="287"/>
      <c r="BR55" s="287"/>
      <c r="BS55" s="287"/>
      <c r="BT55" s="287"/>
      <c r="BU55" s="287"/>
      <c r="BV55" s="287"/>
      <c r="BW55" s="287"/>
      <c r="BX55" s="287"/>
      <c r="BY55" s="287"/>
      <c r="BZ55" s="287"/>
      <c r="CA55" s="287"/>
      <c r="CB55" s="287"/>
      <c r="CC55" s="287"/>
      <c r="CD55" s="287"/>
      <c r="CE55" s="287"/>
    </row>
    <row r="56" spans="1:83" collapsed="1">
      <c r="BL56" s="261"/>
      <c r="BM56" s="261"/>
      <c r="BN56" s="261"/>
      <c r="BO56" s="261"/>
      <c r="BP56" s="261"/>
      <c r="BQ56" s="261"/>
      <c r="BR56" s="261"/>
      <c r="BS56" s="261"/>
      <c r="BT56" s="261"/>
      <c r="BU56" s="261"/>
      <c r="BV56" s="261"/>
      <c r="BW56" s="261"/>
      <c r="BX56" s="261"/>
      <c r="BY56" s="261"/>
      <c r="BZ56" s="261"/>
      <c r="CA56" s="261"/>
      <c r="CB56" s="261"/>
      <c r="CC56" s="261"/>
      <c r="CD56" s="261"/>
      <c r="CE56" s="261"/>
    </row>
    <row r="57" spans="1:83" s="121" customFormat="1" thickBot="1">
      <c r="B57" s="650"/>
      <c r="C57" s="651"/>
      <c r="D57" s="652"/>
      <c r="E57" s="652"/>
      <c r="F57" s="652"/>
      <c r="G57" s="652"/>
      <c r="H57" s="653"/>
      <c r="I57" s="652"/>
      <c r="J57" s="652"/>
      <c r="K57" s="652"/>
      <c r="L57" s="652"/>
      <c r="M57" s="653"/>
      <c r="N57" s="652"/>
      <c r="O57" s="652"/>
      <c r="P57" s="652"/>
      <c r="Q57" s="652"/>
      <c r="R57" s="653"/>
      <c r="S57" s="653"/>
      <c r="T57" s="653"/>
      <c r="U57" s="653"/>
      <c r="V57" s="653"/>
      <c r="W57" s="653"/>
      <c r="X57" s="653"/>
      <c r="Y57" s="653"/>
      <c r="Z57" s="653"/>
      <c r="AA57" s="653"/>
      <c r="AB57" s="653"/>
      <c r="AC57" s="653"/>
      <c r="AD57" s="653"/>
      <c r="AE57" s="653"/>
      <c r="AF57" s="653"/>
      <c r="AG57" s="653"/>
      <c r="AH57" s="653"/>
      <c r="AI57" s="653"/>
      <c r="AJ57" s="653"/>
      <c r="AK57" s="653"/>
      <c r="AL57" s="653"/>
      <c r="AM57" s="653"/>
      <c r="AN57" s="653"/>
      <c r="AO57" s="653"/>
      <c r="AP57" s="653"/>
      <c r="AQ57" s="653"/>
      <c r="AR57" s="653"/>
      <c r="AS57" s="653"/>
      <c r="AT57" s="653"/>
      <c r="AU57" s="653"/>
      <c r="AV57" s="653"/>
      <c r="AW57" s="653"/>
      <c r="AX57" s="653"/>
      <c r="AY57" s="653"/>
      <c r="AZ57" s="653"/>
      <c r="BA57" s="653"/>
      <c r="BB57" s="653"/>
      <c r="BC57" s="653"/>
      <c r="BD57" s="653"/>
      <c r="BE57" s="653"/>
      <c r="BF57" s="653"/>
      <c r="BG57" s="653"/>
      <c r="BH57" s="653"/>
      <c r="BI57" s="653"/>
      <c r="BJ57" s="653"/>
      <c r="BK57" s="653"/>
      <c r="BL57" s="653"/>
      <c r="BM57" s="653"/>
      <c r="BN57" s="653"/>
      <c r="BO57" s="653"/>
      <c r="BP57" s="653"/>
      <c r="BQ57" s="653"/>
      <c r="BR57" s="653"/>
      <c r="BS57" s="653"/>
      <c r="BT57" s="653"/>
      <c r="BU57" s="653"/>
      <c r="BV57" s="653"/>
      <c r="BW57" s="653"/>
      <c r="BX57" s="653"/>
      <c r="BY57" s="653"/>
      <c r="BZ57" s="653"/>
      <c r="CA57" s="653"/>
      <c r="CB57" s="653"/>
      <c r="CC57" s="653"/>
      <c r="CD57" s="653"/>
      <c r="CE57" s="653"/>
    </row>
    <row r="58" spans="1:83" s="121" customFormat="1" ht="17.649999999999999">
      <c r="B58" s="263" t="s">
        <v>171</v>
      </c>
      <c r="C58" s="123"/>
      <c r="D58" s="252"/>
      <c r="E58" s="252"/>
      <c r="F58" s="252"/>
      <c r="G58" s="253"/>
      <c r="H58" s="254"/>
      <c r="I58" s="252"/>
      <c r="J58" s="252"/>
      <c r="K58" s="252"/>
      <c r="L58" s="253"/>
      <c r="M58" s="254"/>
      <c r="N58" s="252"/>
      <c r="O58" s="252"/>
      <c r="P58" s="252"/>
      <c r="Q58" s="253"/>
      <c r="R58" s="254"/>
      <c r="S58" s="252"/>
      <c r="T58" s="252"/>
      <c r="U58" s="252"/>
      <c r="V58" s="255"/>
      <c r="W58" s="254"/>
      <c r="X58" s="252"/>
      <c r="Y58" s="252"/>
      <c r="Z58" s="252"/>
      <c r="AA58" s="252"/>
      <c r="AB58" s="256"/>
      <c r="AC58" s="252"/>
      <c r="AD58" s="252"/>
      <c r="AE58" s="252"/>
      <c r="AF58" s="252"/>
      <c r="AG58" s="256"/>
      <c r="AH58" s="252"/>
      <c r="AI58" s="252"/>
      <c r="AJ58" s="252"/>
      <c r="AK58" s="252"/>
      <c r="AL58" s="256"/>
      <c r="AM58" s="252"/>
      <c r="AN58" s="252"/>
      <c r="AO58" s="252"/>
      <c r="AP58" s="252"/>
      <c r="AQ58" s="256"/>
      <c r="AR58" s="252"/>
      <c r="AS58" s="252"/>
      <c r="AT58" s="252"/>
      <c r="AU58" s="252"/>
      <c r="AV58" s="256"/>
      <c r="AW58" s="252"/>
      <c r="AX58" s="252"/>
      <c r="AY58" s="252"/>
      <c r="AZ58" s="252"/>
      <c r="BA58" s="256"/>
      <c r="BB58" s="252"/>
      <c r="BC58" s="252"/>
      <c r="BD58" s="252"/>
      <c r="BE58" s="252"/>
      <c r="BF58" s="256"/>
      <c r="BG58" s="252"/>
      <c r="BH58" s="252"/>
      <c r="BI58" s="252"/>
      <c r="BJ58" s="252"/>
      <c r="BK58" s="256"/>
      <c r="BL58" s="252"/>
      <c r="BM58" s="252"/>
      <c r="BN58" s="252"/>
      <c r="BO58" s="252"/>
      <c r="BP58" s="256"/>
      <c r="BQ58" s="252"/>
      <c r="BR58" s="252"/>
      <c r="BS58" s="252"/>
      <c r="BT58" s="252"/>
      <c r="BU58" s="256"/>
      <c r="BV58" s="252"/>
      <c r="BW58" s="252"/>
      <c r="BX58" s="252"/>
      <c r="BY58" s="252"/>
      <c r="BZ58" s="256"/>
      <c r="CA58" s="252"/>
      <c r="CB58" s="252"/>
      <c r="CC58" s="252"/>
      <c r="CD58" s="252"/>
      <c r="CE58" s="256"/>
    </row>
    <row r="59" spans="1:83" s="121" customFormat="1" ht="13.15">
      <c r="B59" s="273" t="s">
        <v>292</v>
      </c>
      <c r="C59" s="273"/>
      <c r="D59" s="257" t="str">
        <f>+D4</f>
        <v>2012A</v>
      </c>
      <c r="E59" s="257"/>
      <c r="F59" s="258"/>
      <c r="G59" s="258"/>
      <c r="H59" s="259" t="str">
        <f>+H4</f>
        <v>Year</v>
      </c>
      <c r="I59" s="257" t="str">
        <f>+I4</f>
        <v>2013A</v>
      </c>
      <c r="J59" s="257"/>
      <c r="K59" s="258"/>
      <c r="L59" s="258"/>
      <c r="M59" s="259" t="str">
        <f>+M4</f>
        <v>Year</v>
      </c>
      <c r="N59" s="257" t="str">
        <f>+N4</f>
        <v>2014A</v>
      </c>
      <c r="O59" s="257"/>
      <c r="P59" s="258"/>
      <c r="Q59" s="258"/>
      <c r="R59" s="528" t="str">
        <f>+R4</f>
        <v>Year</v>
      </c>
      <c r="S59" s="257" t="str">
        <f>+S4</f>
        <v>2015A</v>
      </c>
      <c r="T59" s="257"/>
      <c r="U59" s="258"/>
      <c r="V59" s="258"/>
      <c r="W59" s="528" t="str">
        <f>+W4</f>
        <v>Year</v>
      </c>
      <c r="X59" s="257" t="str">
        <f>+X4</f>
        <v>2016A</v>
      </c>
      <c r="Y59" s="257"/>
      <c r="Z59" s="258"/>
      <c r="AA59" s="258"/>
      <c r="AB59" s="528" t="str">
        <f>+AB4</f>
        <v>Year</v>
      </c>
      <c r="AC59" s="257" t="str">
        <f>+AC4</f>
        <v>2017A</v>
      </c>
      <c r="AD59" s="257"/>
      <c r="AE59" s="258"/>
      <c r="AF59" s="258"/>
      <c r="AG59" s="528" t="str">
        <f>+AG4</f>
        <v>Year</v>
      </c>
      <c r="AH59" s="257" t="str">
        <f>+AH4</f>
        <v>2018A</v>
      </c>
      <c r="AI59" s="257"/>
      <c r="AJ59" s="258"/>
      <c r="AK59" s="258"/>
      <c r="AL59" s="528" t="str">
        <f>+AL4</f>
        <v>Year</v>
      </c>
      <c r="AM59" s="257" t="str">
        <f>+AM4</f>
        <v>2019A</v>
      </c>
      <c r="AN59" s="257"/>
      <c r="AO59" s="258"/>
      <c r="AP59" s="258"/>
      <c r="AQ59" s="528" t="str">
        <f>+AQ4</f>
        <v>Year</v>
      </c>
      <c r="AR59" s="257" t="str">
        <f>+AR4</f>
        <v>2020A</v>
      </c>
      <c r="AS59" s="257"/>
      <c r="AT59" s="258"/>
      <c r="AU59" s="258"/>
      <c r="AV59" s="528" t="str">
        <f>+AV4</f>
        <v>Year</v>
      </c>
      <c r="AW59" s="257" t="str">
        <f>+AW4</f>
        <v>2021A</v>
      </c>
      <c r="AX59" s="257"/>
      <c r="AY59" s="258"/>
      <c r="AZ59" s="258"/>
      <c r="BA59" s="528" t="str">
        <f>+BA4</f>
        <v>Year</v>
      </c>
      <c r="BB59" s="257" t="str">
        <f>+BB4</f>
        <v>2022A</v>
      </c>
      <c r="BC59" s="257"/>
      <c r="BD59" s="258"/>
      <c r="BE59" s="258"/>
      <c r="BF59" s="528" t="str">
        <f>+BF4</f>
        <v>Year</v>
      </c>
      <c r="BG59" s="257" t="str">
        <f>+BG4</f>
        <v>2023A</v>
      </c>
      <c r="BH59" s="257"/>
      <c r="BI59" s="258"/>
      <c r="BJ59" s="258"/>
      <c r="BK59" s="528" t="str">
        <f>+BK4</f>
        <v>Year</v>
      </c>
      <c r="BL59" s="257" t="str">
        <f>+BL4</f>
        <v>2024A</v>
      </c>
      <c r="BM59" s="257"/>
      <c r="BN59" s="258"/>
      <c r="BO59" s="258"/>
      <c r="BP59" s="528" t="str">
        <f>+BP4</f>
        <v>Year</v>
      </c>
      <c r="BQ59" s="257" t="str">
        <f>+BQ4</f>
        <v>2025A</v>
      </c>
      <c r="BR59" s="257"/>
      <c r="BS59" s="258"/>
      <c r="BT59" s="258"/>
      <c r="BU59" s="528" t="str">
        <f>+BU4</f>
        <v>Year</v>
      </c>
      <c r="BV59" s="257" t="str">
        <f>+BV4</f>
        <v>2026E</v>
      </c>
      <c r="BW59" s="257"/>
      <c r="BX59" s="258"/>
      <c r="BY59" s="258"/>
      <c r="BZ59" s="528" t="str">
        <f>+BZ4</f>
        <v>Year</v>
      </c>
      <c r="CA59" s="257" t="str">
        <f>+CA4</f>
        <v>2027E</v>
      </c>
      <c r="CB59" s="257"/>
      <c r="CC59" s="258"/>
      <c r="CD59" s="258"/>
      <c r="CE59" s="528" t="str">
        <f>+CE4</f>
        <v>Year</v>
      </c>
    </row>
    <row r="60" spans="1:83" s="121" customFormat="1" ht="13.15">
      <c r="B60" s="274"/>
      <c r="C60" s="259"/>
      <c r="D60" s="259" t="str">
        <f t="shared" ref="D60:Q60" si="242">+D5</f>
        <v>1Q-Mar 12A</v>
      </c>
      <c r="E60" s="259" t="str">
        <f t="shared" si="242"/>
        <v>2Q-Jun 12A</v>
      </c>
      <c r="F60" s="259" t="str">
        <f t="shared" si="242"/>
        <v>3Q-Sep 12A</v>
      </c>
      <c r="G60" s="259" t="str">
        <f t="shared" si="242"/>
        <v>4Q-Dec 12A</v>
      </c>
      <c r="H60" s="259" t="str">
        <f t="shared" si="242"/>
        <v>2012A</v>
      </c>
      <c r="I60" s="259" t="str">
        <f t="shared" si="242"/>
        <v>1Q-Mar 13A</v>
      </c>
      <c r="J60" s="259" t="str">
        <f t="shared" si="242"/>
        <v>2Q-Jun 13A</v>
      </c>
      <c r="K60" s="259" t="str">
        <f t="shared" si="242"/>
        <v>3Q-Sep 13A</v>
      </c>
      <c r="L60" s="259" t="str">
        <f t="shared" si="242"/>
        <v>4Q-Dec 13A</v>
      </c>
      <c r="M60" s="259" t="str">
        <f t="shared" si="242"/>
        <v>2013A</v>
      </c>
      <c r="N60" s="259" t="str">
        <f t="shared" si="242"/>
        <v>1Q-Mar 14A</v>
      </c>
      <c r="O60" s="259" t="str">
        <f t="shared" si="242"/>
        <v>2Q-Jun 14A</v>
      </c>
      <c r="P60" s="259" t="str">
        <f t="shared" si="242"/>
        <v>3Q-Sep 14A</v>
      </c>
      <c r="Q60" s="259" t="str">
        <f t="shared" si="242"/>
        <v>4Q-Dec 14A</v>
      </c>
      <c r="R60" s="528" t="str">
        <f>+R5</f>
        <v>2014A</v>
      </c>
      <c r="S60" s="259" t="str">
        <f>+S5</f>
        <v>1Q-Mar 15A</v>
      </c>
      <c r="T60" s="259" t="str">
        <f>+T5</f>
        <v>2Q-Jun 15A</v>
      </c>
      <c r="U60" s="259" t="str">
        <f>+U5</f>
        <v>3Q-Sep 15A</v>
      </c>
      <c r="V60" s="259" t="str">
        <f>+V5</f>
        <v>4Q-Dec 15A</v>
      </c>
      <c r="W60" s="528" t="str">
        <f>+W5</f>
        <v>2015A</v>
      </c>
      <c r="X60" s="259" t="str">
        <f>+X5</f>
        <v>1Q-Mar 16A</v>
      </c>
      <c r="Y60" s="259" t="str">
        <f>+Y5</f>
        <v>2Q-Jun 16A</v>
      </c>
      <c r="Z60" s="259" t="str">
        <f>+Z5</f>
        <v>3Q-Sep 16A</v>
      </c>
      <c r="AA60" s="259" t="str">
        <f>+AA5</f>
        <v>4Q-Dec 16A</v>
      </c>
      <c r="AB60" s="528" t="str">
        <f>+AB5</f>
        <v>2016A</v>
      </c>
      <c r="AC60" s="259" t="str">
        <f>+AC5</f>
        <v>1Q-Mar 17A</v>
      </c>
      <c r="AD60" s="259" t="str">
        <f>+AD5</f>
        <v>2Q-Jun 17A</v>
      </c>
      <c r="AE60" s="259" t="str">
        <f>+AE5</f>
        <v>3Q-Sep 17A</v>
      </c>
      <c r="AF60" s="259" t="str">
        <f>+AF5</f>
        <v>4Q-Dec 17A</v>
      </c>
      <c r="AG60" s="528" t="str">
        <f>+AG5</f>
        <v>2017A</v>
      </c>
      <c r="AH60" s="259" t="str">
        <f>+AH5</f>
        <v>1Q-Mar 18A</v>
      </c>
      <c r="AI60" s="259" t="str">
        <f>+AI5</f>
        <v>2Q-Jun 18A</v>
      </c>
      <c r="AJ60" s="259" t="str">
        <f>+AJ5</f>
        <v>3Q-Sep 18A</v>
      </c>
      <c r="AK60" s="259" t="str">
        <f>+AK5</f>
        <v>4Q-Dec 18A</v>
      </c>
      <c r="AL60" s="528" t="str">
        <f>+AL5</f>
        <v>2018A</v>
      </c>
      <c r="AM60" s="259" t="str">
        <f>+AM5</f>
        <v>1Q-Mar 19A</v>
      </c>
      <c r="AN60" s="259" t="str">
        <f>+AN5</f>
        <v>2Q-Jun 19A</v>
      </c>
      <c r="AO60" s="259" t="str">
        <f>+AO5</f>
        <v>3Q-Sep 19A</v>
      </c>
      <c r="AP60" s="259" t="str">
        <f>+AP5</f>
        <v>4Q-Dec 19A</v>
      </c>
      <c r="AQ60" s="528" t="str">
        <f>+AQ5</f>
        <v>2019A</v>
      </c>
      <c r="AR60" s="259" t="str">
        <f>+AR5</f>
        <v>1Q-Mar 20A</v>
      </c>
      <c r="AS60" s="259" t="str">
        <f>+AS5</f>
        <v>2Q-Jun 20A</v>
      </c>
      <c r="AT60" s="259" t="str">
        <f>+AT5</f>
        <v>3Q-Sep 20A</v>
      </c>
      <c r="AU60" s="259" t="str">
        <f>+AU5</f>
        <v>4Q-Dec 20A</v>
      </c>
      <c r="AV60" s="528" t="str">
        <f>+AV5</f>
        <v>2020A</v>
      </c>
      <c r="AW60" s="259" t="str">
        <f>+AW5</f>
        <v>1Q-Mar 21A</v>
      </c>
      <c r="AX60" s="259" t="str">
        <f>+AX5</f>
        <v>2Q-Jun 21A</v>
      </c>
      <c r="AY60" s="259" t="str">
        <f>+AY5</f>
        <v>3Q-Sep 21A</v>
      </c>
      <c r="AZ60" s="259" t="str">
        <f>+AZ5</f>
        <v>4Q-Dec 21A</v>
      </c>
      <c r="BA60" s="528" t="str">
        <f>+BA5</f>
        <v>2021A</v>
      </c>
      <c r="BB60" s="259" t="str">
        <f>+BB5</f>
        <v>1Q-Mar 22A</v>
      </c>
      <c r="BC60" s="259" t="str">
        <f>+BC5</f>
        <v>2Q-Jun 22A</v>
      </c>
      <c r="BD60" s="259" t="str">
        <f>+BD5</f>
        <v>3Q-Sep 22A</v>
      </c>
      <c r="BE60" s="259" t="str">
        <f>+BE5</f>
        <v>4Q-Dec 22A</v>
      </c>
      <c r="BF60" s="528" t="str">
        <f>+BF5</f>
        <v>2022A</v>
      </c>
      <c r="BG60" s="259" t="str">
        <f>+BG5</f>
        <v>1Q-Mar 23A</v>
      </c>
      <c r="BH60" s="259" t="str">
        <f>+BH5</f>
        <v>2Q-Jun 23A</v>
      </c>
      <c r="BI60" s="259" t="str">
        <f>+BI5</f>
        <v>3Q-Sep 23A</v>
      </c>
      <c r="BJ60" s="259" t="str">
        <f>+BJ5</f>
        <v>4Q-Dec 23A</v>
      </c>
      <c r="BK60" s="528" t="str">
        <f>+BK5</f>
        <v>2023A</v>
      </c>
      <c r="BL60" s="259" t="str">
        <f>+BL5</f>
        <v>1Q-Mar 24A</v>
      </c>
      <c r="BM60" s="259" t="str">
        <f>+BM5</f>
        <v>2Q-Jun 24A</v>
      </c>
      <c r="BN60" s="259" t="str">
        <f>+BN5</f>
        <v>3Q-Sep 24A</v>
      </c>
      <c r="BO60" s="259" t="str">
        <f>+BO5</f>
        <v>4Q-Dec 24A</v>
      </c>
      <c r="BP60" s="528" t="str">
        <f>+BP5</f>
        <v>2024A</v>
      </c>
      <c r="BQ60" s="259" t="str">
        <f>+BQ5</f>
        <v>1Q-Mar 25A</v>
      </c>
      <c r="BR60" s="259" t="str">
        <f>+BR5</f>
        <v>2Q-Jun 25A</v>
      </c>
      <c r="BS60" s="259" t="str">
        <f>+BS5</f>
        <v>3Q-Sep 25A</v>
      </c>
      <c r="BT60" s="259" t="str">
        <f>+BT5</f>
        <v>4Q-Dec 25A</v>
      </c>
      <c r="BU60" s="528" t="str">
        <f>+BU5</f>
        <v>2025A</v>
      </c>
      <c r="BV60" s="259" t="str">
        <f>+BV5</f>
        <v>1Q-Mar 26E</v>
      </c>
      <c r="BW60" s="259" t="str">
        <f>+BW5</f>
        <v>2Q-Jun 26E</v>
      </c>
      <c r="BX60" s="259" t="str">
        <f>+BX5</f>
        <v>3Q-Sep 26E</v>
      </c>
      <c r="BY60" s="259" t="str">
        <f>+BY5</f>
        <v>4Q-Dec 26E</v>
      </c>
      <c r="BZ60" s="528" t="str">
        <f>+BZ5</f>
        <v>2026E</v>
      </c>
      <c r="CA60" s="259" t="str">
        <f>+CA5</f>
        <v>1Q-Mar 27E</v>
      </c>
      <c r="CB60" s="259" t="str">
        <f>+CB5</f>
        <v>2Q-Jun 27E</v>
      </c>
      <c r="CC60" s="259" t="str">
        <f>+CC5</f>
        <v>3Q-Sep 27E</v>
      </c>
      <c r="CD60" s="259" t="str">
        <f>+CD5</f>
        <v>4Q-Dec 27E</v>
      </c>
      <c r="CE60" s="528" t="str">
        <f>+CE5</f>
        <v>2027E</v>
      </c>
    </row>
    <row r="61" spans="1:83" s="121" customFormat="1" ht="13.15">
      <c r="B61" s="274" t="s">
        <v>161</v>
      </c>
      <c r="C61" s="275"/>
      <c r="D61" s="276"/>
      <c r="E61" s="276"/>
      <c r="F61" s="276"/>
      <c r="G61" s="276"/>
      <c r="H61" s="276"/>
      <c r="I61" s="276"/>
      <c r="J61" s="276"/>
      <c r="K61" s="276"/>
      <c r="L61" s="276"/>
      <c r="M61" s="276"/>
      <c r="N61" s="276"/>
      <c r="O61" s="276"/>
      <c r="P61" s="276"/>
      <c r="Q61" s="276"/>
      <c r="R61" s="529"/>
      <c r="S61" s="276"/>
      <c r="T61" s="276"/>
      <c r="U61" s="276"/>
      <c r="V61" s="276"/>
      <c r="W61" s="529"/>
      <c r="X61" s="276"/>
      <c r="Y61" s="276"/>
      <c r="Z61" s="276"/>
      <c r="AA61" s="276"/>
      <c r="AB61" s="529"/>
      <c r="AC61" s="276"/>
      <c r="AD61" s="276"/>
      <c r="AE61" s="276"/>
      <c r="AF61" s="276"/>
      <c r="AG61" s="529"/>
      <c r="AH61" s="276"/>
      <c r="AI61" s="276"/>
      <c r="AJ61" s="276"/>
      <c r="AK61" s="276"/>
      <c r="AL61" s="529"/>
      <c r="AM61" s="276"/>
      <c r="AN61" s="276"/>
      <c r="AO61" s="276"/>
      <c r="AP61" s="276"/>
      <c r="AQ61" s="529"/>
      <c r="AR61" s="276"/>
      <c r="AS61" s="276"/>
      <c r="AT61" s="276"/>
      <c r="AU61" s="276"/>
      <c r="AV61" s="529"/>
      <c r="AW61" s="276"/>
      <c r="AX61" s="276"/>
      <c r="AY61" s="276"/>
      <c r="AZ61" s="276"/>
      <c r="BA61" s="529"/>
      <c r="BB61" s="276"/>
      <c r="BC61" s="276"/>
      <c r="BD61" s="276"/>
      <c r="BE61" s="276"/>
      <c r="BF61" s="529"/>
      <c r="BG61" s="276"/>
      <c r="BH61" s="276"/>
      <c r="BI61" s="276"/>
      <c r="BJ61" s="276"/>
      <c r="BK61" s="529"/>
      <c r="BL61" s="276"/>
      <c r="BM61" s="276"/>
      <c r="BN61" s="276"/>
      <c r="BO61" s="276"/>
      <c r="BP61" s="529"/>
      <c r="BQ61" s="276"/>
      <c r="BR61" s="276"/>
      <c r="BS61" s="276"/>
      <c r="BT61" s="276"/>
      <c r="BU61" s="529"/>
      <c r="BV61" s="276"/>
      <c r="BW61" s="276"/>
      <c r="BX61" s="276"/>
      <c r="BY61" s="276"/>
      <c r="BZ61" s="529"/>
      <c r="CA61" s="276"/>
      <c r="CB61" s="276"/>
      <c r="CC61" s="276"/>
      <c r="CD61" s="276"/>
      <c r="CE61" s="529"/>
    </row>
    <row r="62" spans="1:83" s="121" customFormat="1" ht="13.15" hidden="1" outlineLevel="1">
      <c r="B62" s="274"/>
      <c r="C62" s="275"/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529"/>
      <c r="S62" s="276"/>
      <c r="T62" s="276"/>
      <c r="U62" s="276"/>
      <c r="V62" s="276"/>
      <c r="W62" s="529"/>
      <c r="X62" s="276"/>
      <c r="Y62" s="276"/>
      <c r="Z62" s="276"/>
      <c r="AA62" s="276"/>
      <c r="AB62" s="529"/>
      <c r="AC62" s="276"/>
      <c r="AD62" s="276"/>
      <c r="AE62" s="276"/>
      <c r="AF62" s="276"/>
      <c r="AG62" s="529"/>
      <c r="AH62" s="276"/>
      <c r="AI62" s="276"/>
      <c r="AJ62" s="276"/>
      <c r="AK62" s="276"/>
      <c r="AL62" s="529"/>
      <c r="AM62" s="276"/>
      <c r="AN62" s="276"/>
      <c r="AO62" s="276"/>
      <c r="AP62" s="276"/>
      <c r="AQ62" s="529"/>
      <c r="AR62" s="276"/>
      <c r="AS62" s="276"/>
      <c r="AT62" s="276"/>
      <c r="AU62" s="276"/>
      <c r="AV62" s="529"/>
      <c r="AW62" s="276"/>
      <c r="AX62" s="276"/>
      <c r="AY62" s="276"/>
      <c r="AZ62" s="276"/>
      <c r="BA62" s="529"/>
      <c r="BB62" s="276"/>
      <c r="BC62" s="276"/>
      <c r="BD62" s="276"/>
      <c r="BE62" s="276"/>
      <c r="BF62" s="529"/>
      <c r="BG62" s="276"/>
      <c r="BH62" s="276"/>
      <c r="BI62" s="276"/>
      <c r="BJ62" s="276"/>
      <c r="BK62" s="529"/>
      <c r="BL62" s="276"/>
      <c r="BM62" s="276"/>
      <c r="BN62" s="276"/>
      <c r="BO62" s="276"/>
      <c r="BP62" s="529"/>
      <c r="BQ62" s="276"/>
      <c r="BR62" s="276"/>
      <c r="BS62" s="276"/>
      <c r="BT62" s="276"/>
      <c r="BU62" s="529"/>
      <c r="BV62" s="276"/>
      <c r="BW62" s="276"/>
      <c r="BX62" s="276"/>
      <c r="BY62" s="276"/>
      <c r="BZ62" s="529"/>
      <c r="CA62" s="276"/>
      <c r="CB62" s="276"/>
      <c r="CC62" s="276"/>
      <c r="CD62" s="276"/>
      <c r="CE62" s="529"/>
    </row>
    <row r="63" spans="1:83" s="121" customFormat="1" ht="13.15" hidden="1" outlineLevel="1">
      <c r="B63" s="274" t="s">
        <v>209</v>
      </c>
      <c r="C63" s="275"/>
      <c r="D63" s="305">
        <f>+IS!D56</f>
        <v>391</v>
      </c>
      <c r="E63" s="305">
        <f>+IS!E56</f>
        <v>603</v>
      </c>
      <c r="F63" s="305">
        <f>+IS!F56</f>
        <v>2694</v>
      </c>
      <c r="G63" s="305">
        <f>+IS!G56</f>
        <v>2045.0000000000036</v>
      </c>
      <c r="H63" s="305">
        <f>+IS!H56</f>
        <v>5733.0000000000036</v>
      </c>
      <c r="I63" s="305">
        <f>+IS!I56</f>
        <v>346</v>
      </c>
      <c r="J63" s="305">
        <f>+IS!J56</f>
        <v>2111</v>
      </c>
      <c r="K63" s="305">
        <f>+IS!K56</f>
        <v>2930</v>
      </c>
      <c r="L63" s="305">
        <f>+IS!L56</f>
        <v>1743.0000000000036</v>
      </c>
      <c r="M63" s="305">
        <f>+IS!M56</f>
        <v>7130.0000000000036</v>
      </c>
      <c r="N63" s="305">
        <f>+IS!N56</f>
        <v>1686</v>
      </c>
      <c r="O63" s="305">
        <f>+IS!O56</f>
        <v>4186</v>
      </c>
      <c r="P63" s="305">
        <f>+IS!P56</f>
        <v>5702</v>
      </c>
      <c r="Q63" s="305">
        <f>+IS!Q56</f>
        <v>5621</v>
      </c>
      <c r="R63" s="546">
        <f>+IS!R56</f>
        <v>17195</v>
      </c>
      <c r="S63" s="305">
        <f>+IS!S56</f>
        <v>5545</v>
      </c>
      <c r="T63" s="305">
        <f>+IS!T56</f>
        <v>6246</v>
      </c>
      <c r="U63" s="305">
        <f>+IS!U56</f>
        <v>7089</v>
      </c>
      <c r="V63" s="305">
        <f>+IS!V56</f>
        <v>7841</v>
      </c>
      <c r="W63" s="546">
        <f>+IS!W56</f>
        <v>26721</v>
      </c>
      <c r="X63" s="305">
        <f>+IS!X56</f>
        <v>7975.9999999999991</v>
      </c>
      <c r="Y63" s="305">
        <f>+IS!Y56</f>
        <v>7546</v>
      </c>
      <c r="Z63" s="305">
        <f>+IS!Z56</f>
        <v>8524</v>
      </c>
      <c r="AA63" s="305">
        <f>+IS!AA56</f>
        <v>8782</v>
      </c>
      <c r="AB63" s="546">
        <f>+IS!AB56</f>
        <v>32828</v>
      </c>
      <c r="AC63" s="305">
        <f>+IS!AC56</f>
        <v>7961.9999999999991</v>
      </c>
      <c r="AD63" s="305">
        <f>+IS!AD56</f>
        <v>10122</v>
      </c>
      <c r="AE63" s="305">
        <f>+IS!AE56</f>
        <v>12383</v>
      </c>
      <c r="AF63" s="305">
        <f>+IS!AF56</f>
        <v>13013</v>
      </c>
      <c r="AG63" s="546">
        <f>+IS!AG56</f>
        <v>43480</v>
      </c>
      <c r="AH63" s="305">
        <f>+IS!AH56</f>
        <v>14960</v>
      </c>
      <c r="AI63" s="305">
        <f>+IS!AI56</f>
        <v>16363</v>
      </c>
      <c r="AJ63" s="305">
        <f>+IS!AJ56</f>
        <v>20687</v>
      </c>
      <c r="AK63" s="305">
        <f>+IS!AK56</f>
        <v>21336</v>
      </c>
      <c r="AL63" s="546">
        <f>+IS!AL56</f>
        <v>73346</v>
      </c>
      <c r="AM63" s="305">
        <f>+IS!AM56</f>
        <v>20281</v>
      </c>
      <c r="AN63" s="305">
        <f>+IS!AN56</f>
        <v>22941</v>
      </c>
      <c r="AO63" s="305">
        <f>+IS!AO56</f>
        <v>26697</v>
      </c>
      <c r="AP63" s="305">
        <f>+IS!AP56</f>
        <v>25547</v>
      </c>
      <c r="AQ63" s="546">
        <f>+IS!AQ56</f>
        <v>95466</v>
      </c>
      <c r="AR63" s="305">
        <f>+IS!AR56</f>
        <v>26641</v>
      </c>
      <c r="AS63" s="305">
        <f>+IS!AS56</f>
        <v>30286</v>
      </c>
      <c r="AT63" s="305">
        <f>+IS!AT56</f>
        <v>31393</v>
      </c>
      <c r="AU63" s="305">
        <f>+IS!AU56</f>
        <v>28636</v>
      </c>
      <c r="AV63" s="546">
        <f>+IS!AV56</f>
        <v>116956</v>
      </c>
      <c r="AW63" s="305">
        <f>+IS!AW56</f>
        <v>29762</v>
      </c>
      <c r="AX63" s="305">
        <f>+IS!AX56</f>
        <v>31606</v>
      </c>
      <c r="AY63" s="305">
        <f>+IS!AY56</f>
        <v>34154</v>
      </c>
      <c r="AZ63" s="305">
        <f>+IS!AZ56</f>
        <v>33751</v>
      </c>
      <c r="BA63" s="546">
        <f>+IS!BA56</f>
        <v>129273</v>
      </c>
      <c r="BB63" s="305">
        <f>+IS!BB56</f>
        <v>35564</v>
      </c>
      <c r="BC63" s="305">
        <f>+IS!BC56</f>
        <v>35271</v>
      </c>
      <c r="BD63" s="305">
        <f>+IS!BD56</f>
        <v>36838</v>
      </c>
      <c r="BE63" s="305">
        <f>+IS!BE56</f>
        <v>38851</v>
      </c>
      <c r="BF63" s="546">
        <f>+IS!BF56</f>
        <v>146524</v>
      </c>
      <c r="BG63" s="305">
        <f>+IS!BG56</f>
        <v>41174</v>
      </c>
      <c r="BH63" s="305">
        <f>+IS!BH56</f>
        <v>47455</v>
      </c>
      <c r="BI63" s="305">
        <f>+IS!BI56</f>
        <v>56680</v>
      </c>
      <c r="BJ63" s="305">
        <f>+IS!BJ56</f>
        <v>52837</v>
      </c>
      <c r="BK63" s="546">
        <f>+IS!BK56</f>
        <v>198146</v>
      </c>
      <c r="BL63" s="305">
        <f>+IS!BL56</f>
        <v>54738</v>
      </c>
      <c r="BM63" s="305">
        <f>+IS!BM56</f>
        <v>56912</v>
      </c>
      <c r="BN63" s="305">
        <f>+IS!BN56</f>
        <v>57971</v>
      </c>
      <c r="BO63" s="305">
        <f>+IS!BO56</f>
        <v>59367</v>
      </c>
      <c r="BP63" s="546">
        <f>+IS!BP56</f>
        <v>228988</v>
      </c>
      <c r="BQ63" s="305">
        <f>+IS!BQ56</f>
        <v>61447</v>
      </c>
      <c r="BR63" s="305">
        <f>+IS!BR56</f>
        <v>61212</v>
      </c>
      <c r="BS63" s="305">
        <f>+IS!BS56</f>
        <v>67441</v>
      </c>
      <c r="BT63" s="305">
        <f>+IS!BT56</f>
        <v>67715</v>
      </c>
      <c r="BU63" s="546">
        <f>+IS!BU56</f>
        <v>257815</v>
      </c>
      <c r="BV63" s="305">
        <f>+IS!BV56</f>
        <v>64427.006880000001</v>
      </c>
      <c r="BW63" s="305">
        <f>+IS!BW56</f>
        <v>63677.197040000021</v>
      </c>
      <c r="BX63" s="305">
        <f>+IS!BX56</f>
        <v>65397.376867199993</v>
      </c>
      <c r="BY63" s="305">
        <f>+IS!BY56</f>
        <v>65306.034458800008</v>
      </c>
      <c r="BZ63" s="546">
        <f>+IS!BZ56</f>
        <v>258807.61524600006</v>
      </c>
      <c r="CA63" s="305">
        <f>+IS!CA56</f>
        <v>67032.961870265615</v>
      </c>
      <c r="CB63" s="305">
        <f>+IS!CB56</f>
        <v>68405.720174048765</v>
      </c>
      <c r="CC63" s="305">
        <f>+IS!CC56</f>
        <v>71081.925748828216</v>
      </c>
      <c r="CD63" s="305">
        <f>+IS!CD56</f>
        <v>74442.346986293487</v>
      </c>
      <c r="CE63" s="546">
        <f>+IS!CE56</f>
        <v>280962.95477943606</v>
      </c>
    </row>
    <row r="64" spans="1:83" s="121" customFormat="1" ht="12.75" hidden="1" outlineLevel="1">
      <c r="B64" s="273" t="s">
        <v>268</v>
      </c>
      <c r="C64" s="275"/>
      <c r="D64" s="271">
        <f>+D113</f>
        <v>676</v>
      </c>
      <c r="E64" s="271">
        <f t="shared" ref="E64:AL64" si="243">+E113</f>
        <v>880</v>
      </c>
      <c r="F64" s="271">
        <f t="shared" si="243"/>
        <v>1027</v>
      </c>
      <c r="G64" s="271">
        <f t="shared" si="243"/>
        <v>869</v>
      </c>
      <c r="H64" s="271">
        <f t="shared" si="243"/>
        <v>3452</v>
      </c>
      <c r="I64" s="271">
        <f t="shared" si="243"/>
        <v>949</v>
      </c>
      <c r="J64" s="271">
        <f t="shared" si="243"/>
        <v>1238</v>
      </c>
      <c r="K64" s="271">
        <f t="shared" si="243"/>
        <v>1621</v>
      </c>
      <c r="L64" s="271">
        <f t="shared" si="243"/>
        <v>1698</v>
      </c>
      <c r="M64" s="271">
        <f t="shared" si="243"/>
        <v>5506</v>
      </c>
      <c r="N64" s="271">
        <f t="shared" si="243"/>
        <v>2126</v>
      </c>
      <c r="O64" s="271">
        <f t="shared" si="243"/>
        <v>2480</v>
      </c>
      <c r="P64" s="271">
        <f t="shared" si="243"/>
        <v>2494</v>
      </c>
      <c r="Q64" s="271">
        <f t="shared" si="243"/>
        <v>3449</v>
      </c>
      <c r="R64" s="547">
        <f t="shared" si="243"/>
        <v>10549</v>
      </c>
      <c r="S64" s="271">
        <f t="shared" si="243"/>
        <v>3875</v>
      </c>
      <c r="T64" s="271">
        <f t="shared" si="243"/>
        <v>4382</v>
      </c>
      <c r="U64" s="271">
        <f t="shared" si="243"/>
        <v>4421</v>
      </c>
      <c r="V64" s="271">
        <f t="shared" si="243"/>
        <v>4816</v>
      </c>
      <c r="W64" s="547">
        <f t="shared" si="243"/>
        <v>17494</v>
      </c>
      <c r="X64" s="271">
        <f t="shared" si="243"/>
        <v>4697</v>
      </c>
      <c r="Y64" s="271">
        <f t="shared" si="243"/>
        <v>5322</v>
      </c>
      <c r="Z64" s="271">
        <f t="shared" si="243"/>
        <v>5103</v>
      </c>
      <c r="AA64" s="271">
        <f t="shared" si="243"/>
        <v>5027</v>
      </c>
      <c r="AB64" s="547">
        <f t="shared" si="243"/>
        <v>20149</v>
      </c>
      <c r="AC64" s="271">
        <f t="shared" si="243"/>
        <v>4332</v>
      </c>
      <c r="AD64" s="271">
        <f t="shared" si="243"/>
        <v>6447</v>
      </c>
      <c r="AE64" s="271">
        <f t="shared" si="243"/>
        <v>7743</v>
      </c>
      <c r="AF64" s="271">
        <f t="shared" si="243"/>
        <v>8439</v>
      </c>
      <c r="AG64" s="547">
        <f t="shared" si="243"/>
        <v>26961</v>
      </c>
      <c r="AH64" s="271">
        <f t="shared" si="243"/>
        <v>8891</v>
      </c>
      <c r="AI64" s="271">
        <f t="shared" si="243"/>
        <v>7023</v>
      </c>
      <c r="AJ64" s="271">
        <f t="shared" si="243"/>
        <v>6758</v>
      </c>
      <c r="AK64" s="271">
        <f t="shared" si="243"/>
        <v>7418</v>
      </c>
      <c r="AL64" s="547">
        <f t="shared" si="243"/>
        <v>30090</v>
      </c>
      <c r="AM64" s="271">
        <f t="shared" ref="AM64:AQ64" si="244">+AM113</f>
        <v>8445</v>
      </c>
      <c r="AN64" s="271">
        <f t="shared" si="244"/>
        <v>8335</v>
      </c>
      <c r="AO64" s="271">
        <f t="shared" si="244"/>
        <v>8383</v>
      </c>
      <c r="AP64" s="271">
        <f t="shared" si="244"/>
        <v>9729</v>
      </c>
      <c r="AQ64" s="547">
        <f t="shared" si="244"/>
        <v>34892</v>
      </c>
      <c r="AR64" s="271">
        <f t="shared" ref="AR64:AV64" si="245">+AR113</f>
        <v>9997</v>
      </c>
      <c r="AS64" s="271">
        <f t="shared" si="245"/>
        <v>9444</v>
      </c>
      <c r="AT64" s="271">
        <f t="shared" si="245"/>
        <v>10489</v>
      </c>
      <c r="AU64" s="271">
        <f t="shared" ref="AU64" si="246">+AU113</f>
        <v>10104</v>
      </c>
      <c r="AV64" s="547">
        <f t="shared" si="245"/>
        <v>40034</v>
      </c>
      <c r="AW64" s="271">
        <f t="shared" ref="AW64:AX64" si="247">+AW113</f>
        <v>38202</v>
      </c>
      <c r="AX64" s="271">
        <f t="shared" si="247"/>
        <v>8553</v>
      </c>
      <c r="AY64" s="271">
        <f t="shared" ref="AY64:BA64" si="248">+AY113</f>
        <v>9463</v>
      </c>
      <c r="AZ64" s="271">
        <f t="shared" si="248"/>
        <v>11361</v>
      </c>
      <c r="BA64" s="547">
        <f t="shared" si="248"/>
        <v>67579</v>
      </c>
      <c r="BB64" s="271">
        <f t="shared" ref="BB64:BF64" si="249">+BB113</f>
        <v>11745</v>
      </c>
      <c r="BC64" s="271">
        <f>12820</f>
        <v>12820</v>
      </c>
      <c r="BD64" s="271">
        <f>13291</f>
        <v>13291</v>
      </c>
      <c r="BE64" s="271">
        <f>15551</f>
        <v>15551</v>
      </c>
      <c r="BF64" s="547">
        <f t="shared" si="249"/>
        <v>53408</v>
      </c>
      <c r="BG64" s="271">
        <f>+BG113</f>
        <v>16033</v>
      </c>
      <c r="BH64" s="271">
        <f t="shared" ref="BH64:BK64" si="250">+BH113</f>
        <v>16005</v>
      </c>
      <c r="BI64" s="271">
        <f t="shared" si="250"/>
        <v>18522</v>
      </c>
      <c r="BJ64" s="271">
        <f t="shared" si="250"/>
        <v>18519</v>
      </c>
      <c r="BK64" s="547">
        <f t="shared" si="250"/>
        <v>69079</v>
      </c>
      <c r="BL64" s="271">
        <f t="shared" ref="BL64:BP64" si="251">+BL113</f>
        <v>19031</v>
      </c>
      <c r="BM64" s="271">
        <f t="shared" si="251"/>
        <v>17086</v>
      </c>
      <c r="BN64" s="271">
        <f t="shared" si="251"/>
        <v>20337</v>
      </c>
      <c r="BO64" s="271">
        <f t="shared" si="251"/>
        <v>20679</v>
      </c>
      <c r="BP64" s="547">
        <f t="shared" si="251"/>
        <v>77133</v>
      </c>
      <c r="BQ64" s="271">
        <f>18820</f>
        <v>18820</v>
      </c>
      <c r="BR64" s="271">
        <f>18046</f>
        <v>18046</v>
      </c>
      <c r="BS64" s="271">
        <f t="shared" ref="BS64:BU64" si="252">+BS113</f>
        <v>19447</v>
      </c>
      <c r="BT64" s="271">
        <f t="shared" si="252"/>
        <v>20653</v>
      </c>
      <c r="BU64" s="547">
        <f t="shared" si="252"/>
        <v>76966</v>
      </c>
      <c r="BV64" s="271">
        <f t="shared" ref="BV64:BZ64" si="253">+BV113</f>
        <v>19083.945650000001</v>
      </c>
      <c r="BW64" s="271">
        <f t="shared" si="253"/>
        <v>19490.565600000002</v>
      </c>
      <c r="BX64" s="271">
        <f t="shared" si="253"/>
        <v>19175.43075</v>
      </c>
      <c r="BY64" s="271">
        <f t="shared" si="253"/>
        <v>18755.174000000003</v>
      </c>
      <c r="BZ64" s="547">
        <f t="shared" si="253"/>
        <v>76505.116000000009</v>
      </c>
      <c r="CA64" s="271">
        <f t="shared" ref="CA64:CE64" si="254">+CA113</f>
        <v>18736.964820000005</v>
      </c>
      <c r="CB64" s="271">
        <f t="shared" si="254"/>
        <v>18959.004720000004</v>
      </c>
      <c r="CC64" s="271">
        <f t="shared" si="254"/>
        <v>19358.053899999999</v>
      </c>
      <c r="CD64" s="271">
        <f t="shared" si="254"/>
        <v>18886.460218000004</v>
      </c>
      <c r="CE64" s="547">
        <f t="shared" si="254"/>
        <v>75940.483658000012</v>
      </c>
    </row>
    <row r="65" spans="1:83" s="121" customFormat="1" ht="12.75" hidden="1" outlineLevel="1">
      <c r="A65" s="121" t="s">
        <v>217</v>
      </c>
      <c r="B65" s="273" t="s">
        <v>402</v>
      </c>
      <c r="C65" s="275"/>
      <c r="D65" s="271"/>
      <c r="E65" s="271"/>
      <c r="F65" s="271"/>
      <c r="G65" s="271"/>
      <c r="H65" s="271">
        <f>+SUM(D65:G65)</f>
        <v>0</v>
      </c>
      <c r="I65" s="271"/>
      <c r="J65" s="271"/>
      <c r="K65" s="271"/>
      <c r="L65" s="271"/>
      <c r="M65" s="271">
        <f>+SUM(I65:L65)</f>
        <v>0</v>
      </c>
      <c r="N65" s="312">
        <v>0</v>
      </c>
      <c r="O65" s="312">
        <v>0</v>
      </c>
      <c r="P65" s="312">
        <v>0</v>
      </c>
      <c r="Q65" s="312">
        <v>0</v>
      </c>
      <c r="R65" s="547">
        <f>+SUM(N65:Q65)</f>
        <v>0</v>
      </c>
      <c r="S65" s="312">
        <v>0</v>
      </c>
      <c r="T65" s="312">
        <v>0</v>
      </c>
      <c r="U65" s="312">
        <v>0</v>
      </c>
      <c r="V65" s="312">
        <v>0</v>
      </c>
      <c r="W65" s="547">
        <f>+SUM(S65:V65)</f>
        <v>0</v>
      </c>
      <c r="X65" s="312">
        <v>0</v>
      </c>
      <c r="Y65" s="312">
        <v>0</v>
      </c>
      <c r="Z65" s="312">
        <v>0</v>
      </c>
      <c r="AA65" s="312">
        <v>0</v>
      </c>
      <c r="AB65" s="547">
        <f>+SUM(X65:AA65)</f>
        <v>0</v>
      </c>
      <c r="AC65" s="312">
        <v>0</v>
      </c>
      <c r="AD65" s="312">
        <v>0</v>
      </c>
      <c r="AE65" s="312">
        <v>86</v>
      </c>
      <c r="AF65" s="312">
        <v>374</v>
      </c>
      <c r="AG65" s="547">
        <f>+SUM(AC65:AF65)</f>
        <v>460</v>
      </c>
      <c r="AH65" s="312">
        <v>608</v>
      </c>
      <c r="AI65" s="312">
        <v>839</v>
      </c>
      <c r="AJ65" s="312">
        <v>839</v>
      </c>
      <c r="AK65" s="312">
        <v>1364</v>
      </c>
      <c r="AL65" s="547">
        <f>+SUM(AH65:AK65)</f>
        <v>3650</v>
      </c>
      <c r="AM65" s="312">
        <v>1520</v>
      </c>
      <c r="AN65" s="312">
        <v>1520</v>
      </c>
      <c r="AO65" s="312">
        <f>1520</f>
        <v>1520</v>
      </c>
      <c r="AP65" s="312">
        <v>1520</v>
      </c>
      <c r="AQ65" s="547">
        <f t="shared" ref="AQ65:AQ66" si="255">+AQ79</f>
        <v>6080</v>
      </c>
      <c r="AR65" s="271">
        <v>1520</v>
      </c>
      <c r="AS65" s="271">
        <v>1520</v>
      </c>
      <c r="AT65" s="271">
        <f>1604</f>
        <v>1604</v>
      </c>
      <c r="AU65" s="271">
        <f>1645</f>
        <v>1645</v>
      </c>
      <c r="AV65" s="547">
        <f>SUM(AR65:AU65)</f>
        <v>6289</v>
      </c>
      <c r="AW65" s="271">
        <f>1645</f>
        <v>1645</v>
      </c>
      <c r="AX65" s="271">
        <f>1646</f>
        <v>1646</v>
      </c>
      <c r="AY65" s="271">
        <f>1665</f>
        <v>1665</v>
      </c>
      <c r="AZ65" s="271">
        <f>1705</f>
        <v>1705</v>
      </c>
      <c r="BA65" s="547">
        <f>SUM(AW65:AZ65)</f>
        <v>6661</v>
      </c>
      <c r="BB65" s="271">
        <f>1706</f>
        <v>1706</v>
      </c>
      <c r="BC65" s="271">
        <v>1474</v>
      </c>
      <c r="BD65" s="271">
        <f>1346</f>
        <v>1346</v>
      </c>
      <c r="BE65" s="271">
        <f>1161</f>
        <v>1161</v>
      </c>
      <c r="BF65" s="547">
        <f>SUM(BB65:BE65)</f>
        <v>5687</v>
      </c>
      <c r="BG65" s="271">
        <v>772</v>
      </c>
      <c r="BH65" s="271">
        <v>772</v>
      </c>
      <c r="BI65" s="271">
        <v>772</v>
      </c>
      <c r="BJ65" s="271">
        <v>771</v>
      </c>
      <c r="BK65" s="547">
        <f>SUM(BG65:BJ65)</f>
        <v>3087</v>
      </c>
      <c r="BL65" s="271">
        <f>772</f>
        <v>772</v>
      </c>
      <c r="BM65" s="271">
        <v>771</v>
      </c>
      <c r="BN65" s="271">
        <v>721</v>
      </c>
      <c r="BO65" s="271">
        <v>639</v>
      </c>
      <c r="BP65" s="547">
        <f>SUM(BL65:BO65)</f>
        <v>2903</v>
      </c>
      <c r="BQ65" s="271">
        <f>640</f>
        <v>640</v>
      </c>
      <c r="BR65" s="271">
        <f>639</f>
        <v>639</v>
      </c>
      <c r="BS65" s="271">
        <f>639</f>
        <v>639</v>
      </c>
      <c r="BT65" s="271">
        <f>639</f>
        <v>639</v>
      </c>
      <c r="BU65" s="547">
        <f>SUM(BQ65:BT65)</f>
        <v>2557</v>
      </c>
      <c r="BV65" s="271">
        <f>BV79</f>
        <v>638.25</v>
      </c>
      <c r="BW65" s="271">
        <f>BW79</f>
        <v>542.51249999999993</v>
      </c>
      <c r="BX65" s="271">
        <f>BX79</f>
        <v>461.135625</v>
      </c>
      <c r="BY65" s="271">
        <f>BY79</f>
        <v>391.96528125000003</v>
      </c>
      <c r="BZ65" s="547">
        <f>SUM(BV65:BY65)</f>
        <v>2033.8634062499998</v>
      </c>
      <c r="CA65" s="271">
        <f>CA79</f>
        <v>444.22731875000011</v>
      </c>
      <c r="CB65" s="271">
        <f>CB79</f>
        <v>355.38185500000009</v>
      </c>
      <c r="CC65" s="271">
        <f>CC79</f>
        <v>284.30548400000009</v>
      </c>
      <c r="CD65" s="271">
        <f>CD79</f>
        <v>227.44438720000008</v>
      </c>
      <c r="CE65" s="547">
        <f>SUM(CA65:CD65)</f>
        <v>1311.3590449500005</v>
      </c>
    </row>
    <row r="66" spans="1:83" s="121" customFormat="1" ht="12.75" hidden="1" outlineLevel="1">
      <c r="B66" s="273" t="s">
        <v>403</v>
      </c>
      <c r="C66" s="275"/>
      <c r="D66" s="276"/>
      <c r="E66" s="276"/>
      <c r="F66" s="276"/>
      <c r="G66" s="276"/>
      <c r="H66" s="276"/>
      <c r="I66" s="276"/>
      <c r="J66" s="276"/>
      <c r="K66" s="276"/>
      <c r="L66" s="276"/>
      <c r="M66" s="276"/>
      <c r="N66" s="276"/>
      <c r="O66" s="276"/>
      <c r="P66" s="276"/>
      <c r="Q66" s="276"/>
      <c r="R66" s="529"/>
      <c r="S66" s="276"/>
      <c r="T66" s="276"/>
      <c r="U66" s="276"/>
      <c r="V66" s="276"/>
      <c r="W66" s="529"/>
      <c r="X66" s="276"/>
      <c r="Y66" s="276"/>
      <c r="Z66" s="276"/>
      <c r="AA66" s="276"/>
      <c r="AB66" s="529"/>
      <c r="AC66" s="276"/>
      <c r="AD66" s="276"/>
      <c r="AE66" s="276"/>
      <c r="AF66" s="276"/>
      <c r="AG66" s="529"/>
      <c r="AH66" s="276"/>
      <c r="AI66" s="276"/>
      <c r="AJ66" s="276"/>
      <c r="AK66" s="276"/>
      <c r="AL66" s="529"/>
      <c r="AM66" s="276"/>
      <c r="AN66" s="276"/>
      <c r="AO66" s="276"/>
      <c r="AP66" s="276"/>
      <c r="AQ66" s="547">
        <f t="shared" si="255"/>
        <v>0</v>
      </c>
      <c r="AR66" s="271"/>
      <c r="AS66" s="276"/>
      <c r="AT66" s="276"/>
      <c r="AU66" s="276"/>
      <c r="AV66" s="529"/>
      <c r="AW66" s="271"/>
      <c r="AX66" s="271"/>
      <c r="AY66" s="276"/>
      <c r="AZ66" s="276"/>
      <c r="BA66" s="529"/>
      <c r="BB66" s="276"/>
      <c r="BC66" s="276"/>
      <c r="BD66" s="276"/>
      <c r="BE66" s="276"/>
      <c r="BF66" s="529"/>
      <c r="BG66" s="276"/>
      <c r="BH66" s="276"/>
      <c r="BI66" s="276"/>
      <c r="BJ66" s="276"/>
      <c r="BK66" s="529"/>
      <c r="BL66" s="276"/>
      <c r="BM66" s="276"/>
      <c r="BN66" s="276"/>
      <c r="BO66" s="276"/>
      <c r="BP66" s="529"/>
      <c r="BQ66" s="276"/>
      <c r="BR66" s="276"/>
      <c r="BS66" s="276"/>
      <c r="BT66" s="276"/>
      <c r="BU66" s="529"/>
      <c r="BV66" s="276"/>
      <c r="BW66" s="276"/>
      <c r="BX66" s="276"/>
      <c r="BY66" s="276"/>
      <c r="BZ66" s="529"/>
      <c r="CA66" s="276"/>
      <c r="CB66" s="276"/>
      <c r="CC66" s="276"/>
      <c r="CD66" s="276"/>
      <c r="CE66" s="529"/>
    </row>
    <row r="67" spans="1:83" s="121" customFormat="1" ht="12.75" hidden="1" outlineLevel="1">
      <c r="B67" s="273" t="s">
        <v>296</v>
      </c>
      <c r="C67" s="275"/>
      <c r="D67" s="271">
        <f>+IS!D53</f>
        <v>78</v>
      </c>
      <c r="E67" s="271">
        <f>+IS!E53</f>
        <v>-78</v>
      </c>
      <c r="F67" s="271">
        <f>+IS!F53</f>
        <v>77</v>
      </c>
      <c r="G67" s="271">
        <f>+IS!G53</f>
        <v>281</v>
      </c>
      <c r="H67" s="271">
        <f>+IS!H53</f>
        <v>358</v>
      </c>
      <c r="I67" s="271">
        <f>+IS!I53</f>
        <v>70</v>
      </c>
      <c r="J67" s="271">
        <f>+IS!J53</f>
        <v>92</v>
      </c>
      <c r="K67" s="271">
        <f>+IS!K53</f>
        <v>210</v>
      </c>
      <c r="L67" s="271">
        <f>+IS!L53</f>
        <v>128</v>
      </c>
      <c r="M67" s="271">
        <f>+IS!M53</f>
        <v>500</v>
      </c>
      <c r="N67" s="271">
        <f>+IS!N53</f>
        <v>182</v>
      </c>
      <c r="O67" s="271">
        <f>+IS!O53</f>
        <v>174</v>
      </c>
      <c r="P67" s="271">
        <f>+IS!P53</f>
        <v>283</v>
      </c>
      <c r="Q67" s="271">
        <f>+IS!Q53</f>
        <v>1471</v>
      </c>
      <c r="R67" s="547">
        <f>+IS!R53</f>
        <v>2110</v>
      </c>
      <c r="S67" s="271">
        <f>+IS!S53</f>
        <v>3173</v>
      </c>
      <c r="T67" s="271">
        <f>+IS!T53</f>
        <v>3576</v>
      </c>
      <c r="U67" s="271">
        <f>+IS!U53</f>
        <v>4056</v>
      </c>
      <c r="V67" s="271">
        <f>+IS!V53</f>
        <v>4488</v>
      </c>
      <c r="W67" s="547">
        <f>+IS!W53</f>
        <v>15293</v>
      </c>
      <c r="X67" s="271">
        <f>+IS!X53</f>
        <v>4486.0000000000009</v>
      </c>
      <c r="Y67" s="271">
        <f>+IS!Y53</f>
        <v>4244</v>
      </c>
      <c r="Z67" s="271">
        <f>+IS!Z53</f>
        <v>4796</v>
      </c>
      <c r="AA67" s="271">
        <f>+IS!AA53</f>
        <v>4939.9999999999991</v>
      </c>
      <c r="AB67" s="547">
        <f>+IS!AB53</f>
        <v>18466</v>
      </c>
      <c r="AC67" s="271">
        <f>+IS!AC53</f>
        <v>4479.0000000000009</v>
      </c>
      <c r="AD67" s="271">
        <f>+IS!AD53</f>
        <v>5694</v>
      </c>
      <c r="AE67" s="271">
        <f>+IS!AE53</f>
        <v>6966</v>
      </c>
      <c r="AF67" s="271">
        <f>+IS!AF53</f>
        <v>6274</v>
      </c>
      <c r="AG67" s="547">
        <f>+IS!AG53</f>
        <v>23413</v>
      </c>
      <c r="AH67" s="271">
        <f>+IS!AH53</f>
        <v>4468</v>
      </c>
      <c r="AI67" s="271">
        <f>+IS!AI53</f>
        <v>4888</v>
      </c>
      <c r="AJ67" s="271">
        <f>+IS!AJ53</f>
        <v>6181</v>
      </c>
      <c r="AK67" s="271">
        <f>+IS!AK53</f>
        <v>3350</v>
      </c>
      <c r="AL67" s="547">
        <f>+IS!AL53</f>
        <v>18887</v>
      </c>
      <c r="AM67" s="271">
        <f>+IS!AM53</f>
        <v>5715</v>
      </c>
      <c r="AN67" s="271">
        <f>+IS!AN53</f>
        <v>6482</v>
      </c>
      <c r="AO67" s="271">
        <f>+IS!AO53</f>
        <v>7541</v>
      </c>
      <c r="AP67" s="271">
        <f>+IS!AP53</f>
        <v>7004</v>
      </c>
      <c r="AQ67" s="547">
        <f>+IS!AQ53</f>
        <v>26742</v>
      </c>
      <c r="AR67" s="271">
        <f>+IS!AR53</f>
        <v>7093</v>
      </c>
      <c r="AS67" s="271">
        <f>+IS!AS53</f>
        <v>7772</v>
      </c>
      <c r="AT67" s="271">
        <f>+IS!AT53</f>
        <v>8334</v>
      </c>
      <c r="AU67" s="271">
        <f>+IS!AU53</f>
        <v>8205</v>
      </c>
      <c r="AV67" s="547">
        <f>+IS!AV53</f>
        <v>31404</v>
      </c>
      <c r="AW67" s="271">
        <f>+IS!AW53</f>
        <v>7878</v>
      </c>
      <c r="AX67" s="271">
        <f>+IS!AX53</f>
        <v>8442</v>
      </c>
      <c r="AY67" s="271">
        <f>+IS!AY53</f>
        <v>9025</v>
      </c>
      <c r="AZ67" s="271">
        <f>+IS!AZ53</f>
        <v>9019</v>
      </c>
      <c r="BA67" s="547">
        <f>+IS!BA53</f>
        <v>34364</v>
      </c>
      <c r="BB67" s="271">
        <f>+IS!BB53</f>
        <v>11230</v>
      </c>
      <c r="BC67" s="271">
        <f>+IS!BC53</f>
        <v>11145</v>
      </c>
      <c r="BD67" s="271">
        <f>+IS!BD53</f>
        <v>11637</v>
      </c>
      <c r="BE67" s="271">
        <f>+IS!BE53</f>
        <v>12258</v>
      </c>
      <c r="BF67" s="547">
        <f>+IS!BF53</f>
        <v>46270</v>
      </c>
      <c r="BG67" s="271">
        <f>+IS!BG53</f>
        <v>12990</v>
      </c>
      <c r="BH67" s="271">
        <f>+IS!BH53</f>
        <v>14999</v>
      </c>
      <c r="BI67" s="271">
        <f>+IS!BI53</f>
        <v>10637</v>
      </c>
      <c r="BJ67" s="271">
        <f>+IS!BJ53</f>
        <v>14045</v>
      </c>
      <c r="BK67" s="547">
        <f>+IS!BK53</f>
        <v>52671</v>
      </c>
      <c r="BL67" s="271">
        <f>+IS!BL53</f>
        <v>14550</v>
      </c>
      <c r="BM67" s="271">
        <f>+IS!BM53</f>
        <v>15129</v>
      </c>
      <c r="BN67" s="271">
        <f>+IS!BN53</f>
        <v>15410</v>
      </c>
      <c r="BO67" s="271">
        <f>+IS!BO53</f>
        <v>15781</v>
      </c>
      <c r="BP67" s="547">
        <f>+IS!BP53</f>
        <v>60870</v>
      </c>
      <c r="BQ67" s="271">
        <f>+IS!BQ53</f>
        <v>16320</v>
      </c>
      <c r="BR67" s="271">
        <f>+IS!BR53</f>
        <v>16286</v>
      </c>
      <c r="BS67" s="271">
        <f>+IS!BS53</f>
        <v>17927</v>
      </c>
      <c r="BT67" s="271">
        <f>+IS!BT53</f>
        <v>18003</v>
      </c>
      <c r="BU67" s="547">
        <f>+IS!BU53</f>
        <v>68536</v>
      </c>
      <c r="BV67" s="271">
        <f>+IS!BV53</f>
        <v>16106.75172</v>
      </c>
      <c r="BW67" s="271">
        <f>+IS!BW53</f>
        <v>15919.299260000007</v>
      </c>
      <c r="BX67" s="271">
        <f>+IS!BX53</f>
        <v>16349.344216799998</v>
      </c>
      <c r="BY67" s="271">
        <f>+IS!BY53</f>
        <v>16326.508614700004</v>
      </c>
      <c r="BZ67" s="547">
        <f>+IS!BZ53</f>
        <v>64701.903811500008</v>
      </c>
      <c r="CA67" s="271">
        <f>+IS!CA53</f>
        <v>16758.240467566404</v>
      </c>
      <c r="CB67" s="271">
        <f>+IS!CB53</f>
        <v>17101.430043512195</v>
      </c>
      <c r="CC67" s="271">
        <f>+IS!CC53</f>
        <v>17770.481437207054</v>
      </c>
      <c r="CD67" s="271">
        <f>+IS!CD53</f>
        <v>18610.586746573372</v>
      </c>
      <c r="CE67" s="547">
        <f>+IS!CE53</f>
        <v>70240.738694859028</v>
      </c>
    </row>
    <row r="68" spans="1:83" s="121" customFormat="1" ht="12.75" hidden="1" outlineLevel="1">
      <c r="A68" s="121" t="s">
        <v>217</v>
      </c>
      <c r="B68" s="273" t="s">
        <v>210</v>
      </c>
      <c r="C68" s="275"/>
      <c r="D68" s="312">
        <v>0</v>
      </c>
      <c r="E68" s="312">
        <v>0</v>
      </c>
      <c r="F68" s="312">
        <v>0</v>
      </c>
      <c r="G68" s="312">
        <v>-1</v>
      </c>
      <c r="H68" s="271">
        <f>+SUM(D68:G68)</f>
        <v>-1</v>
      </c>
      <c r="I68" s="312">
        <v>0</v>
      </c>
      <c r="J68" s="312">
        <v>0</v>
      </c>
      <c r="K68" s="312">
        <v>0</v>
      </c>
      <c r="L68" s="312">
        <v>0</v>
      </c>
      <c r="M68" s="271">
        <f>+SUM(I68:L68)</f>
        <v>0</v>
      </c>
      <c r="N68" s="312">
        <v>0</v>
      </c>
      <c r="O68" s="312">
        <v>0</v>
      </c>
      <c r="P68" s="312">
        <v>0</v>
      </c>
      <c r="Q68" s="312">
        <f>23741-143</f>
        <v>23598</v>
      </c>
      <c r="R68" s="547">
        <f>+SUM(N68:Q68)</f>
        <v>23598</v>
      </c>
      <c r="S68" s="312">
        <v>1332</v>
      </c>
      <c r="T68" s="312">
        <v>1452</v>
      </c>
      <c r="U68" s="312">
        <v>1455</v>
      </c>
      <c r="V68" s="312">
        <v>2399</v>
      </c>
      <c r="W68" s="547">
        <f>+SUM(S68:V68)</f>
        <v>6638</v>
      </c>
      <c r="X68" s="312">
        <v>1504</v>
      </c>
      <c r="Y68" s="312">
        <v>2029.9999999999998</v>
      </c>
      <c r="Z68" s="312">
        <v>1575</v>
      </c>
      <c r="AA68" s="312">
        <v>2152</v>
      </c>
      <c r="AB68" s="547">
        <f>+SUM(X68:AA68)</f>
        <v>7261</v>
      </c>
      <c r="AC68" s="312">
        <v>18300</v>
      </c>
      <c r="AD68" s="312">
        <v>3527</v>
      </c>
      <c r="AE68" s="312">
        <f>3898</f>
        <v>3898</v>
      </c>
      <c r="AF68" s="312">
        <v>-1250</v>
      </c>
      <c r="AG68" s="547">
        <f>+SUM(AC68:AF68)</f>
        <v>24475</v>
      </c>
      <c r="AH68" s="312">
        <v>3959</v>
      </c>
      <c r="AI68" s="312">
        <v>3402</v>
      </c>
      <c r="AJ68" s="312">
        <v>10417</v>
      </c>
      <c r="AK68" s="312">
        <v>2945</v>
      </c>
      <c r="AL68" s="547">
        <f>+SUM(AH68:AK68)</f>
        <v>20723</v>
      </c>
      <c r="AM68" s="312">
        <v>3144</v>
      </c>
      <c r="AN68" s="312">
        <v>4205</v>
      </c>
      <c r="AO68" s="312">
        <f>2380</f>
        <v>2380</v>
      </c>
      <c r="AP68" s="312">
        <f>6366</f>
        <v>6366</v>
      </c>
      <c r="AQ68" s="547">
        <f>+SUM(AM68:AP68)</f>
        <v>16095</v>
      </c>
      <c r="AR68" s="271">
        <v>3570</v>
      </c>
      <c r="AS68" s="271">
        <v>6997</v>
      </c>
      <c r="AT68" s="271">
        <f>3443</f>
        <v>3443</v>
      </c>
      <c r="AU68" s="271">
        <f>6929</f>
        <v>6929</v>
      </c>
      <c r="AV68" s="547">
        <f>+SUM(AR68:AU68)</f>
        <v>20939</v>
      </c>
      <c r="AW68" s="271">
        <f>10313</f>
        <v>10313</v>
      </c>
      <c r="AX68" s="271">
        <f>-265</f>
        <v>-265</v>
      </c>
      <c r="AY68" s="271">
        <f>1136</f>
        <v>1136</v>
      </c>
      <c r="AZ68" s="271">
        <v>1136</v>
      </c>
      <c r="BA68" s="547">
        <f>+SUM(AW68:AZ68)</f>
        <v>12320</v>
      </c>
      <c r="BB68" s="271">
        <f>3297</f>
        <v>3297</v>
      </c>
      <c r="BC68" s="271">
        <f>5619</f>
        <v>5619</v>
      </c>
      <c r="BD68" s="271">
        <f>6178-492-227</f>
        <v>5459</v>
      </c>
      <c r="BE68" s="271">
        <f>6187</f>
        <v>6187</v>
      </c>
      <c r="BF68" s="547">
        <f>+SUM(BB68:BE68)</f>
        <v>20562</v>
      </c>
      <c r="BG68" s="271">
        <f>0.24*SUM(BG64:BG65,BG91)</f>
        <v>4033.2</v>
      </c>
      <c r="BH68" s="271">
        <v>4704</v>
      </c>
      <c r="BI68" s="271">
        <v>9129</v>
      </c>
      <c r="BJ68" s="271">
        <f>7046</f>
        <v>7046</v>
      </c>
      <c r="BK68" s="547">
        <f>+SUM(BG68:BJ68)</f>
        <v>24912.2</v>
      </c>
      <c r="BL68" s="271">
        <f>4796</f>
        <v>4796</v>
      </c>
      <c r="BM68" s="271">
        <f>4717</f>
        <v>4717</v>
      </c>
      <c r="BN68" s="271">
        <f>9299</f>
        <v>9299</v>
      </c>
      <c r="BO68" s="271">
        <v>5916</v>
      </c>
      <c r="BP68" s="547">
        <f>+SUM(BL68:BO68)</f>
        <v>24728</v>
      </c>
      <c r="BQ68" s="271">
        <f>5547</f>
        <v>5547</v>
      </c>
      <c r="BR68" s="271">
        <f>4763</f>
        <v>4763</v>
      </c>
      <c r="BS68" s="271">
        <f>2991</f>
        <v>2991</v>
      </c>
      <c r="BT68" s="271">
        <f>6727</f>
        <v>6727</v>
      </c>
      <c r="BU68" s="547">
        <f>+SUM(BQ68:BT68)</f>
        <v>20028</v>
      </c>
      <c r="BV68" s="271">
        <f t="shared" ref="BV68:BY68" si="256">0.21*SUM(BV64:BV65,BV91)</f>
        <v>4141.6610865000002</v>
      </c>
      <c r="BW68" s="271">
        <f t="shared" si="256"/>
        <v>4206.9464010000002</v>
      </c>
      <c r="BX68" s="271">
        <f t="shared" si="256"/>
        <v>4123.6789387499994</v>
      </c>
      <c r="BY68" s="271">
        <f t="shared" si="256"/>
        <v>4020.8992490625001</v>
      </c>
      <c r="BZ68" s="547">
        <f>+SUM(BV68:BY68)</f>
        <v>16493.185675312499</v>
      </c>
      <c r="CA68" s="271">
        <f t="shared" ref="CA68:CD68" si="257">0.21*SUM(CA64:CA65,CA91)</f>
        <v>4028.0503491375007</v>
      </c>
      <c r="CB68" s="271">
        <f t="shared" si="257"/>
        <v>4056.0211807500009</v>
      </c>
      <c r="CC68" s="271">
        <f t="shared" si="257"/>
        <v>4124.89547064</v>
      </c>
      <c r="CD68" s="271">
        <f t="shared" si="257"/>
        <v>4013.9199670920007</v>
      </c>
      <c r="CE68" s="547">
        <f>+SUM(CA68:CD68)</f>
        <v>16222.886967619503</v>
      </c>
    </row>
    <row r="69" spans="1:83" s="121" customFormat="1" ht="3.75" hidden="1" customHeight="1" outlineLevel="1">
      <c r="B69" s="273"/>
      <c r="C69" s="275"/>
      <c r="D69" s="311" t="s">
        <v>0</v>
      </c>
      <c r="E69" s="311" t="s">
        <v>0</v>
      </c>
      <c r="F69" s="311" t="s">
        <v>0</v>
      </c>
      <c r="G69" s="311" t="s">
        <v>0</v>
      </c>
      <c r="H69" s="311" t="s">
        <v>0</v>
      </c>
      <c r="I69" s="311" t="s">
        <v>0</v>
      </c>
      <c r="J69" s="311" t="s">
        <v>0</v>
      </c>
      <c r="K69" s="311" t="s">
        <v>0</v>
      </c>
      <c r="L69" s="311" t="s">
        <v>0</v>
      </c>
      <c r="M69" s="311" t="s">
        <v>0</v>
      </c>
      <c r="N69" s="311" t="s">
        <v>0</v>
      </c>
      <c r="O69" s="311" t="s">
        <v>0</v>
      </c>
      <c r="P69" s="311" t="s">
        <v>0</v>
      </c>
      <c r="Q69" s="311" t="s">
        <v>0</v>
      </c>
      <c r="R69" s="548" t="s">
        <v>0</v>
      </c>
      <c r="S69" s="311" t="s">
        <v>0</v>
      </c>
      <c r="T69" s="311" t="s">
        <v>0</v>
      </c>
      <c r="U69" s="311" t="s">
        <v>0</v>
      </c>
      <c r="V69" s="311" t="s">
        <v>0</v>
      </c>
      <c r="W69" s="548" t="s">
        <v>0</v>
      </c>
      <c r="X69" s="311" t="s">
        <v>0</v>
      </c>
      <c r="Y69" s="311" t="s">
        <v>0</v>
      </c>
      <c r="Z69" s="311" t="s">
        <v>0</v>
      </c>
      <c r="AA69" s="311" t="s">
        <v>0</v>
      </c>
      <c r="AB69" s="548" t="s">
        <v>0</v>
      </c>
      <c r="AC69" s="311" t="s">
        <v>0</v>
      </c>
      <c r="AD69" s="311" t="s">
        <v>0</v>
      </c>
      <c r="AE69" s="311" t="s">
        <v>0</v>
      </c>
      <c r="AF69" s="311" t="s">
        <v>0</v>
      </c>
      <c r="AG69" s="548" t="s">
        <v>0</v>
      </c>
      <c r="AH69" s="311" t="s">
        <v>0</v>
      </c>
      <c r="AI69" s="311" t="s">
        <v>0</v>
      </c>
      <c r="AJ69" s="311" t="s">
        <v>0</v>
      </c>
      <c r="AK69" s="311" t="s">
        <v>0</v>
      </c>
      <c r="AL69" s="548" t="s">
        <v>0</v>
      </c>
      <c r="AM69" s="311" t="s">
        <v>0</v>
      </c>
      <c r="AN69" s="311" t="s">
        <v>0</v>
      </c>
      <c r="AO69" s="311" t="s">
        <v>0</v>
      </c>
      <c r="AP69" s="311" t="s">
        <v>0</v>
      </c>
      <c r="AQ69" s="548" t="s">
        <v>0</v>
      </c>
      <c r="AR69" s="311" t="s">
        <v>0</v>
      </c>
      <c r="AS69" s="311" t="s">
        <v>0</v>
      </c>
      <c r="AT69" s="311" t="s">
        <v>0</v>
      </c>
      <c r="AU69" s="311" t="s">
        <v>0</v>
      </c>
      <c r="AV69" s="548" t="s">
        <v>0</v>
      </c>
      <c r="AW69" s="311" t="s">
        <v>0</v>
      </c>
      <c r="AX69" s="311" t="s">
        <v>0</v>
      </c>
      <c r="AY69" s="311" t="s">
        <v>0</v>
      </c>
      <c r="AZ69" s="311" t="s">
        <v>0</v>
      </c>
      <c r="BA69" s="548" t="s">
        <v>0</v>
      </c>
      <c r="BB69" s="311" t="s">
        <v>0</v>
      </c>
      <c r="BC69" s="311" t="s">
        <v>0</v>
      </c>
      <c r="BD69" s="311" t="s">
        <v>0</v>
      </c>
      <c r="BE69" s="311" t="s">
        <v>0</v>
      </c>
      <c r="BF69" s="548" t="s">
        <v>0</v>
      </c>
      <c r="BG69" s="311" t="s">
        <v>0</v>
      </c>
      <c r="BH69" s="311" t="s">
        <v>0</v>
      </c>
      <c r="BI69" s="311" t="s">
        <v>0</v>
      </c>
      <c r="BJ69" s="311" t="s">
        <v>0</v>
      </c>
      <c r="BK69" s="548" t="s">
        <v>0</v>
      </c>
      <c r="BL69" s="311" t="s">
        <v>0</v>
      </c>
      <c r="BM69" s="311" t="s">
        <v>0</v>
      </c>
      <c r="BN69" s="311" t="s">
        <v>0</v>
      </c>
      <c r="BO69" s="311" t="s">
        <v>0</v>
      </c>
      <c r="BP69" s="548" t="s">
        <v>0</v>
      </c>
      <c r="BQ69" s="311" t="s">
        <v>0</v>
      </c>
      <c r="BR69" s="311" t="s">
        <v>0</v>
      </c>
      <c r="BS69" s="311" t="s">
        <v>0</v>
      </c>
      <c r="BT69" s="311" t="s">
        <v>0</v>
      </c>
      <c r="BU69" s="548" t="s">
        <v>0</v>
      </c>
      <c r="BV69" s="311" t="s">
        <v>0</v>
      </c>
      <c r="BW69" s="311" t="s">
        <v>0</v>
      </c>
      <c r="BX69" s="311" t="s">
        <v>0</v>
      </c>
      <c r="BY69" s="311" t="s">
        <v>0</v>
      </c>
      <c r="BZ69" s="548" t="s">
        <v>0</v>
      </c>
      <c r="CA69" s="311" t="s">
        <v>0</v>
      </c>
      <c r="CB69" s="311" t="s">
        <v>0</v>
      </c>
      <c r="CC69" s="311" t="s">
        <v>0</v>
      </c>
      <c r="CD69" s="311" t="s">
        <v>0</v>
      </c>
      <c r="CE69" s="548" t="s">
        <v>0</v>
      </c>
    </row>
    <row r="70" spans="1:83" s="121" customFormat="1" ht="12.75" hidden="1" outlineLevel="1">
      <c r="B70" s="273" t="s">
        <v>297</v>
      </c>
      <c r="C70" s="275"/>
      <c r="D70" s="271">
        <f>+D67-D68</f>
        <v>78</v>
      </c>
      <c r="E70" s="271">
        <f t="shared" ref="E70:AL70" si="258">+E67-E68</f>
        <v>-78</v>
      </c>
      <c r="F70" s="271">
        <f t="shared" si="258"/>
        <v>77</v>
      </c>
      <c r="G70" s="271">
        <f t="shared" si="258"/>
        <v>282</v>
      </c>
      <c r="H70" s="271">
        <f t="shared" si="258"/>
        <v>359</v>
      </c>
      <c r="I70" s="271">
        <f t="shared" si="258"/>
        <v>70</v>
      </c>
      <c r="J70" s="271">
        <f t="shared" si="258"/>
        <v>92</v>
      </c>
      <c r="K70" s="271">
        <f t="shared" si="258"/>
        <v>210</v>
      </c>
      <c r="L70" s="271">
        <f t="shared" si="258"/>
        <v>128</v>
      </c>
      <c r="M70" s="271">
        <f t="shared" si="258"/>
        <v>500</v>
      </c>
      <c r="N70" s="271">
        <f t="shared" si="258"/>
        <v>182</v>
      </c>
      <c r="O70" s="271">
        <f t="shared" si="258"/>
        <v>174</v>
      </c>
      <c r="P70" s="271">
        <f t="shared" si="258"/>
        <v>283</v>
      </c>
      <c r="Q70" s="271">
        <f t="shared" si="258"/>
        <v>-22127</v>
      </c>
      <c r="R70" s="547">
        <f t="shared" si="258"/>
        <v>-21488</v>
      </c>
      <c r="S70" s="271">
        <f t="shared" si="258"/>
        <v>1841</v>
      </c>
      <c r="T70" s="271">
        <f t="shared" si="258"/>
        <v>2124</v>
      </c>
      <c r="U70" s="271">
        <f t="shared" si="258"/>
        <v>2601</v>
      </c>
      <c r="V70" s="271">
        <f t="shared" si="258"/>
        <v>2089</v>
      </c>
      <c r="W70" s="547">
        <f t="shared" si="258"/>
        <v>8655</v>
      </c>
      <c r="X70" s="271">
        <f t="shared" si="258"/>
        <v>2982.0000000000009</v>
      </c>
      <c r="Y70" s="271">
        <f t="shared" si="258"/>
        <v>2214</v>
      </c>
      <c r="Z70" s="271">
        <f t="shared" si="258"/>
        <v>3221</v>
      </c>
      <c r="AA70" s="271">
        <f t="shared" si="258"/>
        <v>2787.9999999999991</v>
      </c>
      <c r="AB70" s="547">
        <f t="shared" si="258"/>
        <v>11205</v>
      </c>
      <c r="AC70" s="271">
        <f t="shared" si="258"/>
        <v>-13821</v>
      </c>
      <c r="AD70" s="271">
        <f t="shared" si="258"/>
        <v>2167</v>
      </c>
      <c r="AE70" s="271">
        <f t="shared" si="258"/>
        <v>3068</v>
      </c>
      <c r="AF70" s="271">
        <f t="shared" si="258"/>
        <v>7524</v>
      </c>
      <c r="AG70" s="547">
        <f t="shared" si="258"/>
        <v>-1062</v>
      </c>
      <c r="AH70" s="271">
        <f t="shared" si="258"/>
        <v>509</v>
      </c>
      <c r="AI70" s="271">
        <f t="shared" si="258"/>
        <v>1486</v>
      </c>
      <c r="AJ70" s="271">
        <f t="shared" si="258"/>
        <v>-4236</v>
      </c>
      <c r="AK70" s="271">
        <f t="shared" si="258"/>
        <v>405</v>
      </c>
      <c r="AL70" s="547">
        <f t="shared" si="258"/>
        <v>-1836</v>
      </c>
      <c r="AM70" s="271">
        <f t="shared" ref="AM70:AQ70" si="259">+AM67-AM68</f>
        <v>2571</v>
      </c>
      <c r="AN70" s="271">
        <f t="shared" si="259"/>
        <v>2277</v>
      </c>
      <c r="AO70" s="271">
        <f t="shared" si="259"/>
        <v>5161</v>
      </c>
      <c r="AP70" s="271">
        <f t="shared" si="259"/>
        <v>638</v>
      </c>
      <c r="AQ70" s="547">
        <f t="shared" si="259"/>
        <v>10647</v>
      </c>
      <c r="AR70" s="271">
        <f t="shared" ref="AR70:AV70" si="260">+AR67-AR68</f>
        <v>3523</v>
      </c>
      <c r="AS70" s="271">
        <f t="shared" si="260"/>
        <v>775</v>
      </c>
      <c r="AT70" s="271">
        <f t="shared" si="260"/>
        <v>4891</v>
      </c>
      <c r="AU70" s="271">
        <f t="shared" ref="AU70" si="261">+AU67-AU68</f>
        <v>1276</v>
      </c>
      <c r="AV70" s="547">
        <f t="shared" si="260"/>
        <v>10465</v>
      </c>
      <c r="AW70" s="271">
        <f t="shared" ref="AW70:AX70" si="262">+AW67-AW68</f>
        <v>-2435</v>
      </c>
      <c r="AX70" s="271">
        <f t="shared" si="262"/>
        <v>8707</v>
      </c>
      <c r="AY70" s="271">
        <f t="shared" ref="AY70:BA70" si="263">+AY67-AY68</f>
        <v>7889</v>
      </c>
      <c r="AZ70" s="271">
        <f t="shared" si="263"/>
        <v>7883</v>
      </c>
      <c r="BA70" s="547">
        <f t="shared" si="263"/>
        <v>22044</v>
      </c>
      <c r="BB70" s="271">
        <f t="shared" ref="BB70:BF70" si="264">+BB67-BB68</f>
        <v>7933</v>
      </c>
      <c r="BC70" s="271">
        <f t="shared" si="264"/>
        <v>5526</v>
      </c>
      <c r="BD70" s="271">
        <f t="shared" si="264"/>
        <v>6178</v>
      </c>
      <c r="BE70" s="271">
        <f t="shared" si="264"/>
        <v>6071</v>
      </c>
      <c r="BF70" s="547">
        <f t="shared" si="264"/>
        <v>25708</v>
      </c>
      <c r="BG70" s="271">
        <f t="shared" ref="BG70:BK70" si="265">+BG67-BG68</f>
        <v>8956.7999999999993</v>
      </c>
      <c r="BH70" s="271">
        <f t="shared" si="265"/>
        <v>10295</v>
      </c>
      <c r="BI70" s="271">
        <f t="shared" si="265"/>
        <v>1508</v>
      </c>
      <c r="BJ70" s="271">
        <f t="shared" si="265"/>
        <v>6999</v>
      </c>
      <c r="BK70" s="547">
        <f t="shared" si="265"/>
        <v>27758.799999999999</v>
      </c>
      <c r="BL70" s="271">
        <f t="shared" ref="BL70:BP70" si="266">+BL67-BL68</f>
        <v>9754</v>
      </c>
      <c r="BM70" s="271">
        <f t="shared" si="266"/>
        <v>10412</v>
      </c>
      <c r="BN70" s="271">
        <f t="shared" si="266"/>
        <v>6111</v>
      </c>
      <c r="BO70" s="271">
        <f t="shared" si="266"/>
        <v>9865</v>
      </c>
      <c r="BP70" s="547">
        <f t="shared" si="266"/>
        <v>36142</v>
      </c>
      <c r="BQ70" s="271">
        <f t="shared" ref="BQ70:BU70" si="267">+BQ67-BQ68</f>
        <v>10773</v>
      </c>
      <c r="BR70" s="271">
        <f t="shared" si="267"/>
        <v>11523</v>
      </c>
      <c r="BS70" s="271">
        <f t="shared" si="267"/>
        <v>14936</v>
      </c>
      <c r="BT70" s="271">
        <f t="shared" si="267"/>
        <v>11276</v>
      </c>
      <c r="BU70" s="547">
        <f t="shared" si="267"/>
        <v>48508</v>
      </c>
      <c r="BV70" s="271">
        <f t="shared" ref="BV70:BZ70" si="268">+BV67-BV68</f>
        <v>11965.0906335</v>
      </c>
      <c r="BW70" s="271">
        <f t="shared" si="268"/>
        <v>11712.352859000006</v>
      </c>
      <c r="BX70" s="271">
        <f t="shared" si="268"/>
        <v>12225.665278049999</v>
      </c>
      <c r="BY70" s="271">
        <f t="shared" si="268"/>
        <v>12305.609365637503</v>
      </c>
      <c r="BZ70" s="547">
        <f t="shared" si="268"/>
        <v>48208.718136187512</v>
      </c>
      <c r="CA70" s="271">
        <f t="shared" ref="CA70:CE70" si="269">+CA67-CA68</f>
        <v>12730.190118428904</v>
      </c>
      <c r="CB70" s="271">
        <f t="shared" si="269"/>
        <v>13045.408862762193</v>
      </c>
      <c r="CC70" s="271">
        <f t="shared" si="269"/>
        <v>13645.585966567054</v>
      </c>
      <c r="CD70" s="271">
        <f t="shared" si="269"/>
        <v>14596.666779481371</v>
      </c>
      <c r="CE70" s="547">
        <f t="shared" si="269"/>
        <v>54017.851727239526</v>
      </c>
    </row>
    <row r="71" spans="1:83" s="121" customFormat="1" ht="12.75" hidden="1" outlineLevel="1">
      <c r="B71" s="273" t="s">
        <v>298</v>
      </c>
      <c r="C71" s="275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6">
        <f t="shared" ref="Q71:AB71" si="270">+Q70/(Q70+Q73)</f>
        <v>-6.0738402415591546</v>
      </c>
      <c r="R71" s="547"/>
      <c r="S71" s="276">
        <f t="shared" si="270"/>
        <v>0.38013627916580633</v>
      </c>
      <c r="T71" s="276">
        <f t="shared" si="270"/>
        <v>0.39044117647058824</v>
      </c>
      <c r="U71" s="276">
        <f t="shared" si="270"/>
        <v>0.3868233194527067</v>
      </c>
      <c r="V71" s="276">
        <f t="shared" si="270"/>
        <v>0.27805137761213894</v>
      </c>
      <c r="W71" s="529">
        <f t="shared" si="270"/>
        <v>0.35297716150081565</v>
      </c>
      <c r="X71" s="276">
        <f t="shared" si="270"/>
        <v>0.38403090792015465</v>
      </c>
      <c r="Y71" s="276">
        <f t="shared" si="270"/>
        <v>0.38490959666203062</v>
      </c>
      <c r="Z71" s="276">
        <f t="shared" si="270"/>
        <v>0.39199221126931971</v>
      </c>
      <c r="AA71" s="276">
        <f t="shared" si="270"/>
        <v>0.32064404830362264</v>
      </c>
      <c r="AB71" s="529">
        <f t="shared" si="270"/>
        <v>0.36823425022182787</v>
      </c>
      <c r="AC71" s="276">
        <f t="shared" ref="AC71:AL71" si="271">+AC70/(AC70+AC73)</f>
        <v>-1.7044025157232705</v>
      </c>
      <c r="AD71" s="276">
        <f t="shared" si="271"/>
        <v>0.23129469527164051</v>
      </c>
      <c r="AE71" s="276">
        <f t="shared" si="271"/>
        <v>0.26631944444444444</v>
      </c>
      <c r="AF71" s="276">
        <f t="shared" si="271"/>
        <v>0.72478566612079764</v>
      </c>
      <c r="AG71" s="529">
        <f t="shared" si="271"/>
        <v>-2.696868889509637E-2</v>
      </c>
      <c r="AH71" s="276">
        <f t="shared" si="271"/>
        <v>5.2740648637446895E-2</v>
      </c>
      <c r="AI71" s="276">
        <f t="shared" si="271"/>
        <v>0.12615671958570338</v>
      </c>
      <c r="AJ71" s="276">
        <f t="shared" si="271"/>
        <v>-0.22024645141163626</v>
      </c>
      <c r="AK71" s="276">
        <f t="shared" si="271"/>
        <v>2.7355623100303952E-2</v>
      </c>
      <c r="AL71" s="529">
        <f t="shared" si="271"/>
        <v>-3.3100165861397565E-2</v>
      </c>
      <c r="AM71" s="276">
        <f t="shared" ref="AM71:AQ71" si="272">+AM70/(AM70+AM73)</f>
        <v>0.16234135252888804</v>
      </c>
      <c r="AN71" s="276">
        <f t="shared" si="272"/>
        <v>0.12302123291371765</v>
      </c>
      <c r="AO71" s="276">
        <f t="shared" si="272"/>
        <v>0.21208136429011712</v>
      </c>
      <c r="AP71" s="276">
        <f t="shared" si="272"/>
        <v>3.0795964666698847E-2</v>
      </c>
      <c r="AQ71" s="529">
        <f t="shared" si="272"/>
        <v>0.13409657673996825</v>
      </c>
      <c r="AR71" s="276">
        <f t="shared" ref="AR71:AV71" si="273">+AR70/(AR70+AR73)</f>
        <v>0.15857226448215331</v>
      </c>
      <c r="AS71" s="276">
        <f t="shared" si="273"/>
        <v>2.8604118993135013E-2</v>
      </c>
      <c r="AT71" s="276">
        <f t="shared" si="273"/>
        <v>0.17699211116740249</v>
      </c>
      <c r="AU71" s="276">
        <f t="shared" ref="AU71" si="274">+AU70/(AU70+AU73)</f>
        <v>5.085286146979117E-2</v>
      </c>
      <c r="AV71" s="529">
        <f t="shared" si="273"/>
        <v>0.102560835775258</v>
      </c>
      <c r="AW71" s="276">
        <f t="shared" ref="AW71:AX71" si="275">+AW70/(AW70+AW73)</f>
        <v>1.103307657453557</v>
      </c>
      <c r="AX71" s="276">
        <f t="shared" si="275"/>
        <v>0.29170156454152568</v>
      </c>
      <c r="AY71" s="276">
        <f t="shared" ref="AY71:BA71" si="276">+AY70/(AY70+AY73)</f>
        <v>0.246138966022901</v>
      </c>
      <c r="AZ71" s="276">
        <f t="shared" si="276"/>
        <v>0.26538513331537839</v>
      </c>
      <c r="BA71" s="529">
        <f t="shared" si="276"/>
        <v>0.24658545588778147</v>
      </c>
      <c r="BB71" s="276">
        <f t="shared" ref="BB71:BF71" si="277">+BB70/(BB70+BB73)</f>
        <v>0.23792100290915635</v>
      </c>
      <c r="BC71" s="276">
        <f t="shared" si="277"/>
        <v>0.17203162941286346</v>
      </c>
      <c r="BD71" s="276">
        <f t="shared" si="277"/>
        <v>0.18257580235238488</v>
      </c>
      <c r="BE71" s="276">
        <f t="shared" si="277"/>
        <v>0.1764979504026514</v>
      </c>
      <c r="BF71" s="529">
        <f t="shared" si="277"/>
        <v>0.19228266479180847</v>
      </c>
      <c r="BG71" s="276">
        <f t="shared" ref="BG71:BK71" si="278">+BG70/(BG70+BG73)</f>
        <v>0.23974945796193686</v>
      </c>
      <c r="BH71" s="276">
        <f t="shared" si="278"/>
        <v>0.22538695623618013</v>
      </c>
      <c r="BI71" s="276">
        <f t="shared" si="278"/>
        <v>3.1401620057055997E-2</v>
      </c>
      <c r="BJ71" s="276">
        <f t="shared" si="278"/>
        <v>0.14706253151790216</v>
      </c>
      <c r="BK71" s="529">
        <f t="shared" si="278"/>
        <v>0.15538004265299382</v>
      </c>
      <c r="BL71" s="276">
        <f t="shared" ref="BL71:BP71" si="279">+BL70/(BL70+BL73)</f>
        <v>0.19711023542487621</v>
      </c>
      <c r="BM71" s="276">
        <f t="shared" si="279"/>
        <v>0.19216004724641961</v>
      </c>
      <c r="BN71" s="276">
        <f t="shared" si="279"/>
        <v>0.11679376182558339</v>
      </c>
      <c r="BO71" s="276">
        <f t="shared" si="279"/>
        <v>0.18326212149359095</v>
      </c>
      <c r="BP71" s="529">
        <f t="shared" si="279"/>
        <v>0.17225076493408698</v>
      </c>
      <c r="BQ71" s="276">
        <f t="shared" ref="BQ71:BU71" si="280">+BQ70/(BQ70+BQ73)</f>
        <v>0.18476340748109146</v>
      </c>
      <c r="BR71" s="276">
        <f t="shared" si="280"/>
        <v>0.19592607076666724</v>
      </c>
      <c r="BS71" s="276">
        <f t="shared" si="280"/>
        <v>0.22879201004871175</v>
      </c>
      <c r="BT71" s="276">
        <f t="shared" si="280"/>
        <v>0.17502250644149878</v>
      </c>
      <c r="BU71" s="529">
        <f t="shared" si="280"/>
        <v>0.19652551574375679</v>
      </c>
      <c r="BV71" s="276">
        <f t="shared" ref="BV71:BZ71" si="281">+BV70/(BV70+BV73)</f>
        <v>0.1967568346062383</v>
      </c>
      <c r="BW71" s="276">
        <f t="shared" si="281"/>
        <v>0.19663668091835604</v>
      </c>
      <c r="BX71" s="276">
        <f t="shared" si="281"/>
        <v>0.19683842900295426</v>
      </c>
      <c r="BY71" s="276">
        <f t="shared" si="281"/>
        <v>0.19693574209027923</v>
      </c>
      <c r="BZ71" s="529">
        <f t="shared" si="281"/>
        <v>0.19679394185447519</v>
      </c>
      <c r="CA71" s="276">
        <f t="shared" ref="CA71:CE71" si="282">+CA70/(CA70+CA73)</f>
        <v>0.19703123524053828</v>
      </c>
      <c r="CB71" s="276">
        <f t="shared" si="282"/>
        <v>0.19708209998916243</v>
      </c>
      <c r="CC71" s="276">
        <f t="shared" si="282"/>
        <v>0.19716192084707354</v>
      </c>
      <c r="CD71" s="276">
        <f t="shared" si="282"/>
        <v>0.19741490998317046</v>
      </c>
      <c r="CE71" s="529">
        <f t="shared" si="282"/>
        <v>0.19718009414846305</v>
      </c>
    </row>
    <row r="72" spans="1:83" s="121" customFormat="1" ht="12.75" hidden="1" outlineLevel="1">
      <c r="B72" s="273"/>
      <c r="C72" s="275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547"/>
      <c r="S72" s="271"/>
      <c r="T72" s="271"/>
      <c r="U72" s="271"/>
      <c r="V72" s="271"/>
      <c r="W72" s="547"/>
      <c r="X72" s="271"/>
      <c r="Y72" s="271"/>
      <c r="Z72" s="271"/>
      <c r="AA72" s="271"/>
      <c r="AB72" s="547"/>
      <c r="AC72" s="271"/>
      <c r="AD72" s="271"/>
      <c r="AE72" s="271"/>
      <c r="AF72" s="271"/>
      <c r="AG72" s="547"/>
      <c r="AH72" s="271"/>
      <c r="AI72" s="271"/>
      <c r="AJ72" s="271"/>
      <c r="AK72" s="271"/>
      <c r="AL72" s="547"/>
      <c r="AM72" s="271"/>
      <c r="AN72" s="271"/>
      <c r="AO72" s="271"/>
      <c r="AP72" s="271"/>
      <c r="AQ72" s="547"/>
      <c r="AR72" s="271"/>
      <c r="AS72" s="271"/>
      <c r="AT72" s="271"/>
      <c r="AU72" s="271"/>
      <c r="AV72" s="547"/>
      <c r="AW72" s="271"/>
      <c r="AX72" s="271"/>
      <c r="AY72" s="271"/>
      <c r="AZ72" s="271"/>
      <c r="BA72" s="547"/>
      <c r="BB72" s="271"/>
      <c r="BC72" s="271"/>
      <c r="BD72" s="271"/>
      <c r="BE72" s="271"/>
      <c r="BF72" s="547"/>
      <c r="BG72" s="271"/>
      <c r="BH72" s="271"/>
      <c r="BI72" s="271"/>
      <c r="BJ72" s="271"/>
      <c r="BK72" s="547"/>
      <c r="BL72" s="271"/>
      <c r="BM72" s="271"/>
      <c r="BN72" s="271"/>
      <c r="BO72" s="271"/>
      <c r="BP72" s="547"/>
      <c r="BQ72" s="271"/>
      <c r="BR72" s="271"/>
      <c r="BS72" s="271"/>
      <c r="BT72" s="271"/>
      <c r="BU72" s="547"/>
      <c r="BV72" s="271"/>
      <c r="BW72" s="271"/>
      <c r="BX72" s="271"/>
      <c r="BY72" s="271"/>
      <c r="BZ72" s="547"/>
      <c r="CA72" s="271"/>
      <c r="CB72" s="271"/>
      <c r="CC72" s="271"/>
      <c r="CD72" s="271"/>
      <c r="CE72" s="547"/>
    </row>
    <row r="73" spans="1:83" s="121" customFormat="1" ht="13.15" hidden="1" outlineLevel="1">
      <c r="B73" s="274" t="s">
        <v>331</v>
      </c>
      <c r="C73" s="246"/>
      <c r="D73" s="385">
        <f t="shared" ref="D73:AE73" si="283">+D63-D64+D68-D92-D65-D91</f>
        <v>-285</v>
      </c>
      <c r="E73" s="385">
        <f t="shared" si="283"/>
        <v>-277</v>
      </c>
      <c r="F73" s="385">
        <f t="shared" si="283"/>
        <v>1667</v>
      </c>
      <c r="G73" s="385">
        <f t="shared" si="283"/>
        <v>1175.0000000000036</v>
      </c>
      <c r="H73" s="385">
        <f t="shared" si="283"/>
        <v>2280.0000000000036</v>
      </c>
      <c r="I73" s="385">
        <f t="shared" si="283"/>
        <v>-603</v>
      </c>
      <c r="J73" s="385">
        <f t="shared" si="283"/>
        <v>873</v>
      </c>
      <c r="K73" s="385">
        <f t="shared" si="283"/>
        <v>1309</v>
      </c>
      <c r="L73" s="385">
        <f t="shared" si="283"/>
        <v>45.000000000003638</v>
      </c>
      <c r="M73" s="385">
        <f t="shared" si="283"/>
        <v>1624.0000000000036</v>
      </c>
      <c r="N73" s="385">
        <f t="shared" si="283"/>
        <v>-440</v>
      </c>
      <c r="O73" s="385">
        <f t="shared" si="283"/>
        <v>1706</v>
      </c>
      <c r="P73" s="385">
        <f t="shared" si="283"/>
        <v>3208</v>
      </c>
      <c r="Q73" s="385">
        <f t="shared" si="283"/>
        <v>25770</v>
      </c>
      <c r="R73" s="549">
        <f t="shared" si="283"/>
        <v>30244</v>
      </c>
      <c r="S73" s="385">
        <f t="shared" si="283"/>
        <v>3002</v>
      </c>
      <c r="T73" s="385">
        <f t="shared" si="283"/>
        <v>3316</v>
      </c>
      <c r="U73" s="385">
        <f t="shared" si="283"/>
        <v>4123</v>
      </c>
      <c r="V73" s="385">
        <f t="shared" si="283"/>
        <v>5424</v>
      </c>
      <c r="W73" s="549">
        <f t="shared" si="283"/>
        <v>15865</v>
      </c>
      <c r="X73" s="385">
        <f t="shared" si="283"/>
        <v>4782.9999999999991</v>
      </c>
      <c r="Y73" s="385">
        <f t="shared" si="283"/>
        <v>3538</v>
      </c>
      <c r="Z73" s="385">
        <f t="shared" si="283"/>
        <v>4996</v>
      </c>
      <c r="AA73" s="385">
        <f t="shared" si="283"/>
        <v>5907</v>
      </c>
      <c r="AB73" s="549">
        <f t="shared" si="283"/>
        <v>19224</v>
      </c>
      <c r="AC73" s="385">
        <f t="shared" si="283"/>
        <v>21930</v>
      </c>
      <c r="AD73" s="385">
        <f t="shared" si="283"/>
        <v>7202</v>
      </c>
      <c r="AE73" s="385">
        <f t="shared" si="283"/>
        <v>8452</v>
      </c>
      <c r="AF73" s="385">
        <f>+AF63-AF64+AF68-AF92-AF65-AF91</f>
        <v>2857</v>
      </c>
      <c r="AG73" s="549">
        <f t="shared" ref="AG73:AQ73" si="284">+AG63-AG64+AG68-AG92-AG65-AG91</f>
        <v>40441</v>
      </c>
      <c r="AH73" s="385">
        <f t="shared" si="284"/>
        <v>9142</v>
      </c>
      <c r="AI73" s="385">
        <f t="shared" si="284"/>
        <v>10293</v>
      </c>
      <c r="AJ73" s="385">
        <f t="shared" si="284"/>
        <v>23469</v>
      </c>
      <c r="AK73" s="385">
        <f t="shared" si="284"/>
        <v>14400</v>
      </c>
      <c r="AL73" s="549">
        <f t="shared" si="284"/>
        <v>57304</v>
      </c>
      <c r="AM73" s="385">
        <f t="shared" si="284"/>
        <v>13266</v>
      </c>
      <c r="AN73" s="385">
        <f t="shared" si="284"/>
        <v>16232</v>
      </c>
      <c r="AO73" s="385">
        <f t="shared" si="284"/>
        <v>19174</v>
      </c>
      <c r="AP73" s="385">
        <f t="shared" si="284"/>
        <v>20079</v>
      </c>
      <c r="AQ73" s="549">
        <f t="shared" si="284"/>
        <v>68751</v>
      </c>
      <c r="AR73" s="385">
        <f t="shared" ref="AR73:AV73" si="285">+AR63-AR64+AR68-AR92-AR65-AR91</f>
        <v>18694</v>
      </c>
      <c r="AS73" s="385">
        <f t="shared" si="285"/>
        <v>26319</v>
      </c>
      <c r="AT73" s="385">
        <f t="shared" si="285"/>
        <v>22743</v>
      </c>
      <c r="AU73" s="385">
        <f>+AU63-AU64+AU68-AU92-AU65-AU91</f>
        <v>23816</v>
      </c>
      <c r="AV73" s="549">
        <f t="shared" si="285"/>
        <v>91572</v>
      </c>
      <c r="AW73" s="385">
        <f t="shared" ref="AW73" si="286">+AW63-AW64+AW68-AW92-AW65-AW91</f>
        <v>228</v>
      </c>
      <c r="AX73" s="385">
        <f t="shared" ref="AX73:BA73" si="287">+AX63-AX64+AX68-AX92-AX65-AX91</f>
        <v>21142</v>
      </c>
      <c r="AY73" s="385">
        <f t="shared" si="287"/>
        <v>24162</v>
      </c>
      <c r="AZ73" s="385">
        <f t="shared" si="287"/>
        <v>21821</v>
      </c>
      <c r="BA73" s="549">
        <f t="shared" si="287"/>
        <v>67353</v>
      </c>
      <c r="BB73" s="385">
        <f t="shared" ref="BB73:BF73" si="288">+BB63-BB64+BB68-BB92-BB65-BB91</f>
        <v>25410</v>
      </c>
      <c r="BC73" s="385">
        <f t="shared" si="288"/>
        <v>26596</v>
      </c>
      <c r="BD73" s="385">
        <f t="shared" si="288"/>
        <v>27660</v>
      </c>
      <c r="BE73" s="385">
        <f t="shared" si="288"/>
        <v>28326</v>
      </c>
      <c r="BF73" s="549">
        <f t="shared" si="288"/>
        <v>107991</v>
      </c>
      <c r="BG73" s="385">
        <f t="shared" ref="BG73:BK73" si="289">+BG63-BG64+BG68-BG92-BG65-BG91</f>
        <v>28402.2</v>
      </c>
      <c r="BH73" s="385">
        <f t="shared" si="289"/>
        <v>35382</v>
      </c>
      <c r="BI73" s="385">
        <f t="shared" si="289"/>
        <v>46515</v>
      </c>
      <c r="BJ73" s="385">
        <f t="shared" si="289"/>
        <v>40593</v>
      </c>
      <c r="BK73" s="549">
        <f t="shared" si="289"/>
        <v>150892.20000000001</v>
      </c>
      <c r="BL73" s="385">
        <f t="shared" ref="BL73:BP73" si="290">+BL63-BL64+BL68-BL92-BL65-BL91</f>
        <v>39731</v>
      </c>
      <c r="BM73" s="385">
        <f t="shared" si="290"/>
        <v>43772</v>
      </c>
      <c r="BN73" s="385">
        <f t="shared" si="290"/>
        <v>46212</v>
      </c>
      <c r="BO73" s="385">
        <f t="shared" si="290"/>
        <v>43965</v>
      </c>
      <c r="BP73" s="549">
        <f t="shared" si="290"/>
        <v>173680</v>
      </c>
      <c r="BQ73" s="385">
        <f t="shared" ref="BQ73:BU73" si="291">+BQ63-BQ64+BQ68-BQ92-BQ65-BQ91</f>
        <v>47534</v>
      </c>
      <c r="BR73" s="385">
        <f t="shared" si="291"/>
        <v>47290</v>
      </c>
      <c r="BS73" s="385">
        <f t="shared" si="291"/>
        <v>50346</v>
      </c>
      <c r="BT73" s="385">
        <f t="shared" si="291"/>
        <v>53150</v>
      </c>
      <c r="BU73" s="549">
        <f t="shared" si="291"/>
        <v>198320</v>
      </c>
      <c r="BV73" s="385">
        <f t="shared" ref="BV73:BZ73" si="292">+BV63-BV64+BV68-BV92-BV65-BV91</f>
        <v>48846.472316500003</v>
      </c>
      <c r="BW73" s="385">
        <f t="shared" si="292"/>
        <v>47851.065341000023</v>
      </c>
      <c r="BX73" s="385">
        <f t="shared" si="292"/>
        <v>49884.489430949987</v>
      </c>
      <c r="BY73" s="385">
        <f t="shared" si="292"/>
        <v>50179.794426612505</v>
      </c>
      <c r="BZ73" s="549">
        <f t="shared" si="292"/>
        <v>196761.82151506256</v>
      </c>
      <c r="CA73" s="385">
        <f t="shared" ref="CA73:CE73" si="293">+CA63-CA64+CA68-CA92-CA65-CA91</f>
        <v>51879.820080653102</v>
      </c>
      <c r="CB73" s="385">
        <f t="shared" si="293"/>
        <v>53147.354779798763</v>
      </c>
      <c r="CC73" s="385">
        <f t="shared" si="293"/>
        <v>55564.461835468217</v>
      </c>
      <c r="CD73" s="385">
        <f t="shared" si="293"/>
        <v>59342.362348185481</v>
      </c>
      <c r="CE73" s="549">
        <f t="shared" si="293"/>
        <v>219933.99904410556</v>
      </c>
    </row>
    <row r="74" spans="1:83" s="121" customFormat="1" ht="12.75" hidden="1" outlineLevel="1">
      <c r="B74" s="273" t="s">
        <v>211</v>
      </c>
      <c r="C74" s="275"/>
      <c r="D74" s="299">
        <f>+D73-D77</f>
        <v>0</v>
      </c>
      <c r="E74" s="299">
        <f t="shared" ref="E74:AL74" si="294">+E73-E77</f>
        <v>0</v>
      </c>
      <c r="F74" s="299">
        <f t="shared" si="294"/>
        <v>0</v>
      </c>
      <c r="G74" s="299">
        <f t="shared" si="294"/>
        <v>3.637978807091713E-12</v>
      </c>
      <c r="H74" s="299">
        <f t="shared" si="294"/>
        <v>3.637978807091713E-12</v>
      </c>
      <c r="I74" s="299">
        <f t="shared" si="294"/>
        <v>0</v>
      </c>
      <c r="J74" s="299">
        <f t="shared" si="294"/>
        <v>0</v>
      </c>
      <c r="K74" s="299">
        <f t="shared" si="294"/>
        <v>0</v>
      </c>
      <c r="L74" s="299">
        <f t="shared" si="294"/>
        <v>3.637978807091713E-12</v>
      </c>
      <c r="M74" s="299">
        <f t="shared" si="294"/>
        <v>3.637978807091713E-12</v>
      </c>
      <c r="N74" s="299">
        <f t="shared" si="294"/>
        <v>0</v>
      </c>
      <c r="O74" s="299">
        <f t="shared" si="294"/>
        <v>0</v>
      </c>
      <c r="P74" s="299">
        <f t="shared" si="294"/>
        <v>0</v>
      </c>
      <c r="Q74" s="299">
        <f t="shared" si="294"/>
        <v>0</v>
      </c>
      <c r="R74" s="550">
        <f t="shared" si="294"/>
        <v>0</v>
      </c>
      <c r="S74" s="299">
        <f t="shared" si="294"/>
        <v>0</v>
      </c>
      <c r="T74" s="299">
        <f t="shared" si="294"/>
        <v>0</v>
      </c>
      <c r="U74" s="299">
        <f t="shared" si="294"/>
        <v>0</v>
      </c>
      <c r="V74" s="299">
        <f t="shared" si="294"/>
        <v>0</v>
      </c>
      <c r="W74" s="550">
        <f t="shared" si="294"/>
        <v>0</v>
      </c>
      <c r="X74" s="299">
        <f t="shared" si="294"/>
        <v>0</v>
      </c>
      <c r="Y74" s="299">
        <f t="shared" si="294"/>
        <v>0</v>
      </c>
      <c r="Z74" s="299">
        <f t="shared" si="294"/>
        <v>0</v>
      </c>
      <c r="AA74" s="299">
        <f t="shared" si="294"/>
        <v>0</v>
      </c>
      <c r="AB74" s="550">
        <f t="shared" si="294"/>
        <v>0</v>
      </c>
      <c r="AC74" s="299">
        <f t="shared" si="294"/>
        <v>0</v>
      </c>
      <c r="AD74" s="299">
        <f t="shared" si="294"/>
        <v>0</v>
      </c>
      <c r="AE74" s="299">
        <f t="shared" si="294"/>
        <v>0</v>
      </c>
      <c r="AF74" s="299">
        <f t="shared" si="294"/>
        <v>1</v>
      </c>
      <c r="AG74" s="550">
        <f t="shared" si="294"/>
        <v>1</v>
      </c>
      <c r="AH74" s="299">
        <f t="shared" si="294"/>
        <v>0</v>
      </c>
      <c r="AI74" s="299">
        <f t="shared" si="294"/>
        <v>0</v>
      </c>
      <c r="AJ74" s="299">
        <f t="shared" si="294"/>
        <v>0</v>
      </c>
      <c r="AK74" s="299">
        <f t="shared" si="294"/>
        <v>0</v>
      </c>
      <c r="AL74" s="550">
        <f t="shared" si="294"/>
        <v>0</v>
      </c>
      <c r="AM74" s="299">
        <f t="shared" ref="AM74:AQ74" si="295">+AM73-AM77</f>
        <v>0</v>
      </c>
      <c r="AN74" s="299">
        <f t="shared" si="295"/>
        <v>0</v>
      </c>
      <c r="AO74" s="299">
        <f t="shared" si="295"/>
        <v>0</v>
      </c>
      <c r="AP74" s="299">
        <f t="shared" si="295"/>
        <v>-585</v>
      </c>
      <c r="AQ74" s="550">
        <f t="shared" si="295"/>
        <v>0</v>
      </c>
      <c r="AR74" s="299">
        <f t="shared" ref="AR74:AV74" si="296">+AR73-AR77</f>
        <v>0</v>
      </c>
      <c r="AS74" s="299">
        <f t="shared" si="296"/>
        <v>0</v>
      </c>
      <c r="AT74" s="299">
        <f t="shared" si="296"/>
        <v>0</v>
      </c>
      <c r="AU74" s="299">
        <f t="shared" si="296"/>
        <v>0</v>
      </c>
      <c r="AV74" s="550">
        <f t="shared" si="296"/>
        <v>0</v>
      </c>
      <c r="AW74" s="299">
        <f t="shared" ref="AW74" si="297">+AW73-AW77</f>
        <v>0</v>
      </c>
      <c r="AX74" s="299">
        <f t="shared" ref="AX74:BA74" si="298">+AX73-AX77</f>
        <v>0</v>
      </c>
      <c r="AY74" s="299">
        <f t="shared" si="298"/>
        <v>0</v>
      </c>
      <c r="AZ74" s="299">
        <f t="shared" si="298"/>
        <v>0</v>
      </c>
      <c r="BA74" s="550">
        <f t="shared" si="298"/>
        <v>0</v>
      </c>
      <c r="BB74" s="299">
        <f t="shared" ref="BB74:BF74" si="299">+BB73-BB77</f>
        <v>0</v>
      </c>
      <c r="BC74" s="299">
        <f t="shared" si="299"/>
        <v>0</v>
      </c>
      <c r="BD74" s="299">
        <f t="shared" si="299"/>
        <v>0</v>
      </c>
      <c r="BE74" s="299">
        <f t="shared" si="299"/>
        <v>0</v>
      </c>
      <c r="BF74" s="550">
        <f t="shared" si="299"/>
        <v>0</v>
      </c>
      <c r="BG74" s="299">
        <f t="shared" ref="BG74:BK74" si="300">+BG73-BG77</f>
        <v>0</v>
      </c>
      <c r="BH74" s="299">
        <f t="shared" si="300"/>
        <v>0</v>
      </c>
      <c r="BI74" s="299">
        <f t="shared" si="300"/>
        <v>0</v>
      </c>
      <c r="BJ74" s="299">
        <f t="shared" si="300"/>
        <v>0</v>
      </c>
      <c r="BK74" s="550">
        <f t="shared" si="300"/>
        <v>0</v>
      </c>
      <c r="BL74" s="299">
        <f t="shared" ref="BL74:BP74" si="301">+BL73-BL77</f>
        <v>0</v>
      </c>
      <c r="BM74" s="299">
        <f t="shared" si="301"/>
        <v>0</v>
      </c>
      <c r="BN74" s="299">
        <f t="shared" si="301"/>
        <v>0</v>
      </c>
      <c r="BO74" s="299">
        <f t="shared" si="301"/>
        <v>0</v>
      </c>
      <c r="BP74" s="550">
        <f t="shared" si="301"/>
        <v>0</v>
      </c>
      <c r="BQ74" s="299">
        <f t="shared" ref="BQ74:BU74" si="302">+BQ73-BQ77</f>
        <v>0</v>
      </c>
      <c r="BR74" s="299">
        <f t="shared" si="302"/>
        <v>0</v>
      </c>
      <c r="BS74" s="299">
        <f t="shared" si="302"/>
        <v>0</v>
      </c>
      <c r="BT74" s="299">
        <f t="shared" si="302"/>
        <v>0</v>
      </c>
      <c r="BU74" s="550">
        <f t="shared" si="302"/>
        <v>0</v>
      </c>
      <c r="BV74" s="299">
        <f t="shared" ref="BV74:BZ74" si="303">+BV73-BV77</f>
        <v>0</v>
      </c>
      <c r="BW74" s="299">
        <f t="shared" si="303"/>
        <v>0</v>
      </c>
      <c r="BX74" s="299">
        <f t="shared" si="303"/>
        <v>0</v>
      </c>
      <c r="BY74" s="299">
        <f t="shared" si="303"/>
        <v>0</v>
      </c>
      <c r="BZ74" s="550">
        <f t="shared" si="303"/>
        <v>0</v>
      </c>
      <c r="CA74" s="299">
        <f t="shared" ref="CA74:CE74" si="304">+CA73-CA77</f>
        <v>0</v>
      </c>
      <c r="CB74" s="299">
        <f t="shared" si="304"/>
        <v>0</v>
      </c>
      <c r="CC74" s="299">
        <f t="shared" si="304"/>
        <v>0</v>
      </c>
      <c r="CD74" s="299">
        <f t="shared" si="304"/>
        <v>0</v>
      </c>
      <c r="CE74" s="550">
        <f t="shared" si="304"/>
        <v>0</v>
      </c>
    </row>
    <row r="75" spans="1:83" s="121" customFormat="1" ht="13.15" collapsed="1">
      <c r="B75" s="274"/>
      <c r="C75" s="275"/>
      <c r="D75" s="276"/>
      <c r="E75" s="276"/>
      <c r="F75" s="276"/>
      <c r="G75" s="276"/>
      <c r="H75" s="276"/>
      <c r="I75" s="276"/>
      <c r="J75" s="276"/>
      <c r="K75" s="276"/>
      <c r="L75" s="276"/>
      <c r="M75" s="276"/>
      <c r="N75" s="276"/>
      <c r="O75" s="276"/>
      <c r="P75" s="276"/>
      <c r="Q75" s="276"/>
      <c r="R75" s="529"/>
      <c r="S75" s="276"/>
      <c r="T75" s="276"/>
      <c r="U75" s="276"/>
      <c r="V75" s="276"/>
      <c r="W75" s="529"/>
      <c r="X75" s="276"/>
      <c r="Y75" s="276"/>
      <c r="Z75" s="276"/>
      <c r="AA75" s="276"/>
      <c r="AB75" s="529"/>
      <c r="AC75" s="276"/>
      <c r="AD75" s="276"/>
      <c r="AG75" s="554"/>
      <c r="AL75" s="529"/>
      <c r="AQ75" s="554"/>
      <c r="AV75" s="539"/>
      <c r="BA75" s="529"/>
      <c r="BC75" s="698">
        <f>BC73-26596</f>
        <v>0</v>
      </c>
      <c r="BF75" s="529"/>
      <c r="BK75" s="529"/>
      <c r="BO75" s="698">
        <f>43965-BO73</f>
        <v>0</v>
      </c>
      <c r="BP75" s="529"/>
      <c r="BU75" s="529"/>
      <c r="BZ75" s="529"/>
      <c r="CE75" s="529"/>
    </row>
    <row r="76" spans="1:83" s="121" customFormat="1" ht="13.15" hidden="1" outlineLevel="1">
      <c r="B76" s="274"/>
      <c r="C76" s="275"/>
      <c r="D76" s="386"/>
      <c r="E76" s="386"/>
      <c r="F76" s="386"/>
      <c r="G76" s="386"/>
      <c r="H76" s="386"/>
      <c r="I76" s="386"/>
      <c r="J76" s="386"/>
      <c r="K76" s="386"/>
      <c r="L76" s="386"/>
      <c r="M76" s="386"/>
      <c r="N76" s="386"/>
      <c r="O76" s="386"/>
      <c r="P76" s="386"/>
      <c r="Q76" s="386"/>
      <c r="R76" s="556"/>
      <c r="S76" s="386"/>
      <c r="T76" s="386"/>
      <c r="U76" s="386"/>
      <c r="V76" s="386"/>
      <c r="W76" s="556"/>
      <c r="X76" s="386"/>
      <c r="Y76" s="386"/>
      <c r="Z76" s="386"/>
      <c r="AA76" s="386"/>
      <c r="AB76" s="556"/>
      <c r="AC76" s="386"/>
      <c r="AD76" s="386"/>
      <c r="AE76" s="387"/>
      <c r="AF76" s="387" t="e">
        <f ca="1">_xll.FDS(+IS!$B$1,"FE_ESTIMATE(NET_INC_REP,MEAN,QUARTERLY,"&amp;IS!AF$74&amp;",NOW,,,'')")*1000</f>
        <v>#NAME?</v>
      </c>
      <c r="AG76" s="551" t="e">
        <f ca="1">_xll.FDS(+IS!$B$1,"FE_ESTIMATE(NET_INC_REP,MEAN,ANNUAL,"&amp;IS!AG$74&amp;",NOW,,,'')")*1000</f>
        <v>#NAME?</v>
      </c>
      <c r="AH76" s="387" t="e">
        <f ca="1">_xll.FDS(+IS!$B$1,"FE_ESTIMATE(NET_INC_REP,MEAN,QUARTERLY,"&amp;IS!AH$74&amp;",NOW,,,'')")*1000</f>
        <v>#NAME?</v>
      </c>
      <c r="AI76" s="387" t="e">
        <f ca="1">_xll.FDS(+IS!$B$1,"FE_ESTIMATE(NET_INC_REP,MEAN,QUARTERLY,"&amp;IS!AI$74&amp;",NOW,,,'')")*1000</f>
        <v>#NAME?</v>
      </c>
      <c r="AJ76" s="387" t="e">
        <f ca="1">_xll.FDS(+IS!$B$1,"FE_ESTIMATE(NET_INC_REP,MEAN,QUARTERLY,"&amp;IS!AJ$74&amp;",NOW,,,'')")*1000</f>
        <v>#NAME?</v>
      </c>
      <c r="AK76" s="387" t="e">
        <f ca="1">_xll.FDS(+IS!$B$1,"FE_ESTIMATE(NET_INC_REP,MEAN,QUARTERLY,"&amp;IS!AK$74&amp;",NOW,,,'')")*1000</f>
        <v>#NAME?</v>
      </c>
      <c r="AL76" s="551" t="e">
        <f ca="1">_xll.FDS(+IS!$B$1,"FE_ESTIMATE(NET_INC_REP,MEAN,ANNUAL,"&amp;IS!AL$74&amp;",NOW,,,'')")*1000</f>
        <v>#NAME?</v>
      </c>
      <c r="AM76" s="327"/>
      <c r="AN76" s="327"/>
      <c r="AO76" s="327"/>
      <c r="AP76" s="327"/>
      <c r="AQ76" s="551" t="e">
        <f ca="1">_xll.FDS(+IS!$B$1,"FE_ESTIMATE(NET_INC_REP,MEAN,ANNUAL,"&amp;IS!AQ$74&amp;",NOW,,,'')")*1000</f>
        <v>#NAME?</v>
      </c>
      <c r="AR76" s="327"/>
      <c r="AS76" s="327"/>
      <c r="AT76" s="327"/>
      <c r="AU76" s="327"/>
      <c r="AV76" s="551" t="e">
        <f ca="1">_xll.FDS(+IS!$B$1,"FE_ESTIMATE(NET_INC_REP,MEAN,ANNUAL,"&amp;IS!AV$74&amp;",NOW,,,'')")*1000</f>
        <v>#NAME?</v>
      </c>
      <c r="AW76" s="327"/>
      <c r="AX76" s="327"/>
      <c r="AY76" s="327"/>
      <c r="AZ76" s="327"/>
      <c r="BA76" s="551"/>
      <c r="BB76" s="327"/>
      <c r="BC76" s="327"/>
      <c r="BD76" s="327"/>
      <c r="BE76" s="327"/>
      <c r="BF76" s="551"/>
      <c r="BG76" s="327"/>
      <c r="BH76" s="327"/>
      <c r="BI76" s="327"/>
      <c r="BJ76" s="327"/>
      <c r="BK76" s="551"/>
      <c r="BL76" s="327"/>
      <c r="BM76" s="327"/>
      <c r="BN76" s="327"/>
      <c r="BO76" s="327"/>
      <c r="BP76" s="551"/>
      <c r="BQ76" s="327"/>
      <c r="BR76" s="327"/>
      <c r="BS76" s="327"/>
      <c r="BT76" s="327"/>
      <c r="BU76" s="551"/>
      <c r="BV76" s="327"/>
      <c r="BW76" s="327"/>
      <c r="BX76" s="327"/>
      <c r="BY76" s="327"/>
      <c r="BZ76" s="551"/>
      <c r="CA76" s="327"/>
      <c r="CB76" s="327"/>
      <c r="CC76" s="327"/>
      <c r="CD76" s="327"/>
      <c r="CE76" s="551"/>
    </row>
    <row r="77" spans="1:83" s="248" customFormat="1" ht="12.75" collapsed="1">
      <c r="A77" s="121" t="s">
        <v>218</v>
      </c>
      <c r="B77" s="277" t="s">
        <v>331</v>
      </c>
      <c r="C77" s="278"/>
      <c r="D77" s="388">
        <v>-285</v>
      </c>
      <c r="E77" s="388">
        <v>-277</v>
      </c>
      <c r="F77" s="388">
        <v>1667</v>
      </c>
      <c r="G77" s="384">
        <f>H77-SUM(D77:F77)</f>
        <v>1175</v>
      </c>
      <c r="H77" s="384">
        <f>+CF!H7</f>
        <v>2280</v>
      </c>
      <c r="I77" s="388">
        <v>-603</v>
      </c>
      <c r="J77" s="388">
        <v>873</v>
      </c>
      <c r="K77" s="388">
        <v>1309</v>
      </c>
      <c r="L77" s="384">
        <f>M77-SUM(I77:K77)</f>
        <v>45</v>
      </c>
      <c r="M77" s="384">
        <f>+CF!M7</f>
        <v>1624</v>
      </c>
      <c r="N77" s="384">
        <f>+CF!N7</f>
        <v>-440</v>
      </c>
      <c r="O77" s="384">
        <f>+CF!O7</f>
        <v>1706</v>
      </c>
      <c r="P77" s="384">
        <f>+CF!P7</f>
        <v>3208</v>
      </c>
      <c r="Q77" s="384">
        <f>+CF!Q7</f>
        <v>25770</v>
      </c>
      <c r="R77" s="539">
        <f>+CF!R7</f>
        <v>30244</v>
      </c>
      <c r="S77" s="384">
        <f>+CF!S7</f>
        <v>3002</v>
      </c>
      <c r="T77" s="384">
        <f>+CF!T7</f>
        <v>3316</v>
      </c>
      <c r="U77" s="384">
        <f>+CF!U7</f>
        <v>4123</v>
      </c>
      <c r="V77" s="384">
        <f>+CF!V7</f>
        <v>5424</v>
      </c>
      <c r="W77" s="539">
        <f>+CF!W7</f>
        <v>15865</v>
      </c>
      <c r="X77" s="384">
        <f>+CF!X7</f>
        <v>4783</v>
      </c>
      <c r="Y77" s="384">
        <f>+CF!Y7</f>
        <v>3538</v>
      </c>
      <c r="Z77" s="384">
        <f>+CF!Z7</f>
        <v>4996</v>
      </c>
      <c r="AA77" s="384">
        <f>+CF!AA7</f>
        <v>5907</v>
      </c>
      <c r="AB77" s="539">
        <f>+CF!AB7</f>
        <v>19224</v>
      </c>
      <c r="AC77" s="384">
        <f>+CF!AC7</f>
        <v>21930</v>
      </c>
      <c r="AD77" s="384">
        <f>+CF!AD7</f>
        <v>7202</v>
      </c>
      <c r="AE77" s="384">
        <f>+CF!AE7</f>
        <v>8452</v>
      </c>
      <c r="AF77" s="384">
        <f>+CF!AF7</f>
        <v>2856</v>
      </c>
      <c r="AG77" s="539">
        <f>+CF!AG7</f>
        <v>40440</v>
      </c>
      <c r="AH77" s="384">
        <f>+CF!AH7</f>
        <v>9142</v>
      </c>
      <c r="AI77" s="384">
        <f>+CF!AI7</f>
        <v>10293</v>
      </c>
      <c r="AJ77" s="384">
        <f>+CF!AJ7</f>
        <v>23469</v>
      </c>
      <c r="AK77" s="384">
        <f>+CF!AK7</f>
        <v>14400</v>
      </c>
      <c r="AL77" s="539">
        <f>+CF!AL7</f>
        <v>57304</v>
      </c>
      <c r="AM77" s="384">
        <f>+CF!AM7</f>
        <v>13266</v>
      </c>
      <c r="AN77" s="384">
        <f>+CF!AN7</f>
        <v>16232</v>
      </c>
      <c r="AO77" s="384">
        <f>+CF!AO7</f>
        <v>19174</v>
      </c>
      <c r="AP77" s="384">
        <f>+CF!AP7</f>
        <v>20664</v>
      </c>
      <c r="AQ77" s="539">
        <f t="shared" ref="AQ77" si="305">+AQ73</f>
        <v>68751</v>
      </c>
      <c r="AR77" s="384">
        <f t="shared" ref="AR77:AV77" si="306">+AR73</f>
        <v>18694</v>
      </c>
      <c r="AS77" s="384">
        <f t="shared" si="306"/>
        <v>26319</v>
      </c>
      <c r="AT77" s="384">
        <f t="shared" si="306"/>
        <v>22743</v>
      </c>
      <c r="AU77" s="384">
        <f t="shared" ref="AU77" si="307">+AU73</f>
        <v>23816</v>
      </c>
      <c r="AV77" s="539">
        <f t="shared" si="306"/>
        <v>91572</v>
      </c>
      <c r="AW77" s="384">
        <f t="shared" ref="AW77:BA77" si="308">+AW73</f>
        <v>228</v>
      </c>
      <c r="AX77" s="384">
        <f t="shared" si="308"/>
        <v>21142</v>
      </c>
      <c r="AY77" s="384">
        <f t="shared" si="308"/>
        <v>24162</v>
      </c>
      <c r="AZ77" s="384">
        <f t="shared" si="308"/>
        <v>21821</v>
      </c>
      <c r="BA77" s="539">
        <f t="shared" si="308"/>
        <v>67353</v>
      </c>
      <c r="BB77" s="384">
        <f t="shared" ref="BB77" si="309">+BB73</f>
        <v>25410</v>
      </c>
      <c r="BC77" s="384">
        <f t="shared" ref="BC77:BF77" si="310">+BC73</f>
        <v>26596</v>
      </c>
      <c r="BD77" s="384">
        <f t="shared" si="310"/>
        <v>27660</v>
      </c>
      <c r="BE77" s="384">
        <f t="shared" si="310"/>
        <v>28326</v>
      </c>
      <c r="BF77" s="539">
        <f t="shared" si="310"/>
        <v>107991</v>
      </c>
      <c r="BG77" s="384">
        <f t="shared" ref="BG77:BK77" si="311">+BG73</f>
        <v>28402.2</v>
      </c>
      <c r="BH77" s="384">
        <v>35382</v>
      </c>
      <c r="BI77" s="384">
        <f t="shared" si="311"/>
        <v>46515</v>
      </c>
      <c r="BJ77" s="384">
        <f t="shared" si="311"/>
        <v>40593</v>
      </c>
      <c r="BK77" s="539">
        <f t="shared" si="311"/>
        <v>150892.20000000001</v>
      </c>
      <c r="BL77" s="384">
        <f t="shared" ref="BL77:BP77" si="312">+BL73</f>
        <v>39731</v>
      </c>
      <c r="BM77" s="384">
        <f t="shared" si="312"/>
        <v>43772</v>
      </c>
      <c r="BN77" s="384">
        <f t="shared" si="312"/>
        <v>46212</v>
      </c>
      <c r="BO77" s="384">
        <f t="shared" si="312"/>
        <v>43965</v>
      </c>
      <c r="BP77" s="539">
        <f t="shared" si="312"/>
        <v>173680</v>
      </c>
      <c r="BQ77" s="384">
        <f t="shared" ref="BQ77:BU77" si="313">+BQ73</f>
        <v>47534</v>
      </c>
      <c r="BR77" s="384">
        <f t="shared" si="313"/>
        <v>47290</v>
      </c>
      <c r="BS77" s="384">
        <f t="shared" si="313"/>
        <v>50346</v>
      </c>
      <c r="BT77" s="384">
        <f t="shared" si="313"/>
        <v>53150</v>
      </c>
      <c r="BU77" s="539">
        <f t="shared" si="313"/>
        <v>198320</v>
      </c>
      <c r="BV77" s="384">
        <f t="shared" ref="BV77:BZ77" si="314">+BV73</f>
        <v>48846.472316500003</v>
      </c>
      <c r="BW77" s="384">
        <f t="shared" si="314"/>
        <v>47851.065341000023</v>
      </c>
      <c r="BX77" s="384">
        <f t="shared" si="314"/>
        <v>49884.489430949987</v>
      </c>
      <c r="BY77" s="384">
        <f t="shared" si="314"/>
        <v>50179.794426612505</v>
      </c>
      <c r="BZ77" s="539">
        <f t="shared" si="314"/>
        <v>196761.82151506256</v>
      </c>
      <c r="CA77" s="384">
        <f t="shared" ref="CA77:CE77" si="315">+CA73</f>
        <v>51879.820080653102</v>
      </c>
      <c r="CB77" s="384">
        <f t="shared" si="315"/>
        <v>53147.354779798763</v>
      </c>
      <c r="CC77" s="384">
        <f t="shared" si="315"/>
        <v>55564.461835468217</v>
      </c>
      <c r="CD77" s="384">
        <f t="shared" si="315"/>
        <v>59342.362348185481</v>
      </c>
      <c r="CE77" s="539">
        <f t="shared" si="315"/>
        <v>219933.99904410556</v>
      </c>
    </row>
    <row r="78" spans="1:83" s="121" customFormat="1" ht="12.75" hidden="1" outlineLevel="1">
      <c r="A78" s="121" t="s">
        <v>217</v>
      </c>
      <c r="B78" s="273" t="s">
        <v>299</v>
      </c>
      <c r="C78" s="275"/>
      <c r="D78" s="279">
        <v>1648</v>
      </c>
      <c r="E78" s="279">
        <v>1679</v>
      </c>
      <c r="F78" s="279">
        <v>1739</v>
      </c>
      <c r="G78" s="280">
        <f t="shared" ref="G78:G92" si="316">H78-SUM(D78:F78)</f>
        <v>1829</v>
      </c>
      <c r="H78" s="279">
        <v>6895</v>
      </c>
      <c r="I78" s="279">
        <v>2012</v>
      </c>
      <c r="J78" s="279">
        <v>2267</v>
      </c>
      <c r="K78" s="279">
        <v>-24</v>
      </c>
      <c r="L78" s="280">
        <f t="shared" ref="L78:L92" si="317">M78-SUM(I78:K78)</f>
        <v>4940</v>
      </c>
      <c r="M78" s="279">
        <v>9195</v>
      </c>
      <c r="N78" s="279">
        <v>2707</v>
      </c>
      <c r="O78" s="279">
        <v>2879</v>
      </c>
      <c r="P78" s="279">
        <v>2946</v>
      </c>
      <c r="Q78" s="280">
        <f t="shared" ref="Q78:Q92" si="318">R78-SUM(N78:P78)</f>
        <v>2972</v>
      </c>
      <c r="R78" s="558">
        <v>11504</v>
      </c>
      <c r="S78" s="279">
        <v>3084</v>
      </c>
      <c r="T78" s="279">
        <v>3306</v>
      </c>
      <c r="U78" s="279">
        <v>3741</v>
      </c>
      <c r="V78" s="279">
        <v>3843</v>
      </c>
      <c r="W78" s="530">
        <f t="shared" ref="W78:W92" si="319">+SUM(S78:V78)</f>
        <v>13974</v>
      </c>
      <c r="X78" s="279">
        <v>3724</v>
      </c>
      <c r="Y78" s="279">
        <v>3885</v>
      </c>
      <c r="Z78" s="279">
        <v>4426</v>
      </c>
      <c r="AA78" s="279">
        <v>4586</v>
      </c>
      <c r="AB78" s="530">
        <f t="shared" ref="AB78:AB92" si="320">+SUM(X78:AA78)</f>
        <v>16621</v>
      </c>
      <c r="AC78" s="279">
        <v>4727</v>
      </c>
      <c r="AD78" s="279">
        <v>4854</v>
      </c>
      <c r="AE78" s="279">
        <v>5098</v>
      </c>
      <c r="AF78" s="279">
        <v>5166</v>
      </c>
      <c r="AG78" s="530">
        <f t="shared" ref="AG78:AG79" si="321">+SUM(AC78:AF78)</f>
        <v>19845</v>
      </c>
      <c r="AH78" s="279">
        <v>6410</v>
      </c>
      <c r="AI78" s="279">
        <v>6342</v>
      </c>
      <c r="AJ78" s="279">
        <v>6110</v>
      </c>
      <c r="AK78" s="279">
        <v>6316</v>
      </c>
      <c r="AL78" s="530">
        <f t="shared" ref="AL78:AL79" si="322">+SUM(AH78:AK78)</f>
        <v>25178</v>
      </c>
      <c r="AM78" s="279">
        <v>6415</v>
      </c>
      <c r="AN78" s="279">
        <v>6354</v>
      </c>
      <c r="AO78" s="279">
        <f>6157</f>
        <v>6157</v>
      </c>
      <c r="AP78" s="279">
        <f>6195</f>
        <v>6195</v>
      </c>
      <c r="AQ78" s="530">
        <f t="shared" ref="AQ78:AQ79" si="323">+SUM(AM78:AP78)</f>
        <v>25121</v>
      </c>
      <c r="AR78" s="280">
        <v>6227</v>
      </c>
      <c r="AS78" s="280">
        <v>6336</v>
      </c>
      <c r="AT78" s="280">
        <v>6738</v>
      </c>
      <c r="AU78" s="280">
        <f>7225</f>
        <v>7225</v>
      </c>
      <c r="AV78" s="530">
        <f t="shared" ref="AV78:AV79" si="324">+SUM(AR78:AU78)</f>
        <v>26526</v>
      </c>
      <c r="AW78" s="280">
        <f>7433</f>
        <v>7433</v>
      </c>
      <c r="AX78" s="280">
        <f>7145</f>
        <v>7145</v>
      </c>
      <c r="AY78" s="280">
        <f>7218</f>
        <v>7218</v>
      </c>
      <c r="AZ78" s="280">
        <f>7440</f>
        <v>7440</v>
      </c>
      <c r="BA78" s="530">
        <f t="shared" ref="BA78:BA79" si="325">+SUM(AW78:AZ78)</f>
        <v>29236</v>
      </c>
      <c r="BB78" s="280">
        <f>7276</f>
        <v>7276</v>
      </c>
      <c r="BC78" s="280">
        <f>7097</f>
        <v>7097</v>
      </c>
      <c r="BD78" s="280">
        <f>6875</f>
        <v>6875</v>
      </c>
      <c r="BE78" s="280">
        <v>7688</v>
      </c>
      <c r="BF78" s="530">
        <f t="shared" ref="BF78:BF79" si="326">+SUM(BB78:BE78)</f>
        <v>28936</v>
      </c>
      <c r="BG78" s="280">
        <v>6672</v>
      </c>
      <c r="BH78" s="280">
        <v>6230</v>
      </c>
      <c r="BI78" s="280">
        <v>5922</v>
      </c>
      <c r="BJ78" s="280">
        <f>5080</f>
        <v>5080</v>
      </c>
      <c r="BK78" s="530">
        <f t="shared" ref="BK78:BK79" si="327">+SUM(BG78:BJ78)</f>
        <v>23904</v>
      </c>
      <c r="BL78" s="280">
        <f>4467</f>
        <v>4467</v>
      </c>
      <c r="BM78" s="713">
        <f>4009</f>
        <v>4009</v>
      </c>
      <c r="BN78" s="280">
        <v>3670</v>
      </c>
      <c r="BO78" s="713">
        <f>3464</f>
        <v>3464</v>
      </c>
      <c r="BP78" s="530">
        <f t="shared" ref="BP78:BP79" si="328">+SUM(BL78:BO78)</f>
        <v>15610</v>
      </c>
      <c r="BQ78" s="280">
        <f>3537</f>
        <v>3537</v>
      </c>
      <c r="BR78" s="280">
        <f>3339</f>
        <v>3339</v>
      </c>
      <c r="BS78" s="280">
        <f>2559</f>
        <v>2559</v>
      </c>
      <c r="BT78" s="280">
        <f>2499</f>
        <v>2499</v>
      </c>
      <c r="BU78" s="530">
        <f t="shared" ref="BU78:BU79" si="329">+SUM(BQ78:BT78)</f>
        <v>11934</v>
      </c>
      <c r="BV78" s="280">
        <f>+BS!BV86</f>
        <v>3474.9</v>
      </c>
      <c r="BW78" s="280">
        <f>+BS!BW86</f>
        <v>3239.9241847499993</v>
      </c>
      <c r="BX78" s="280">
        <f>+BS!BX86</f>
        <v>2101.7374780250002</v>
      </c>
      <c r="BY78" s="280">
        <f>+BS!BY86</f>
        <v>2165.4984552225001</v>
      </c>
      <c r="BZ78" s="530">
        <f t="shared" ref="BZ78:BZ79" si="330">+SUM(BV78:BY78)</f>
        <v>10982.060117997498</v>
      </c>
      <c r="CA78" s="280">
        <f>+BS!CA86</f>
        <v>3345.414329550375</v>
      </c>
      <c r="CB78" s="280">
        <f>+BS!CB86</f>
        <v>3124.6566524178183</v>
      </c>
      <c r="CC78" s="280">
        <f>+BS!CC86</f>
        <v>2352.2745802841164</v>
      </c>
      <c r="CD78" s="280">
        <f>+BS!CD86</f>
        <v>2302.2982774500229</v>
      </c>
      <c r="CE78" s="530">
        <f t="shared" ref="CE78:CE79" si="331">+SUM(CA78:CD78)</f>
        <v>11124.643839702334</v>
      </c>
    </row>
    <row r="79" spans="1:83" s="121" customFormat="1" ht="12.75" hidden="1" outlineLevel="1">
      <c r="A79" s="121" t="s">
        <v>217</v>
      </c>
      <c r="B79" s="273" t="s">
        <v>300</v>
      </c>
      <c r="C79" s="275"/>
      <c r="D79" s="279">
        <v>102</v>
      </c>
      <c r="E79" s="279">
        <v>117</v>
      </c>
      <c r="F79" s="279">
        <v>112</v>
      </c>
      <c r="G79" s="280">
        <f t="shared" si="316"/>
        <v>115</v>
      </c>
      <c r="H79" s="279">
        <v>446</v>
      </c>
      <c r="I79" s="279">
        <v>107</v>
      </c>
      <c r="J79" s="279">
        <v>107</v>
      </c>
      <c r="K79" s="279">
        <v>210</v>
      </c>
      <c r="L79" s="280">
        <f t="shared" si="317"/>
        <v>-7</v>
      </c>
      <c r="M79" s="279">
        <v>417</v>
      </c>
      <c r="N79" s="279">
        <v>98</v>
      </c>
      <c r="O79" s="279">
        <v>98</v>
      </c>
      <c r="P79" s="279">
        <v>98</v>
      </c>
      <c r="Q79" s="280">
        <f t="shared" si="318"/>
        <v>99</v>
      </c>
      <c r="R79" s="558">
        <v>393</v>
      </c>
      <c r="S79" s="279">
        <v>98</v>
      </c>
      <c r="T79" s="279">
        <v>98</v>
      </c>
      <c r="U79" s="279">
        <v>97</v>
      </c>
      <c r="V79" s="279">
        <v>93</v>
      </c>
      <c r="W79" s="530">
        <f t="shared" si="319"/>
        <v>386</v>
      </c>
      <c r="X79" s="279">
        <v>110</v>
      </c>
      <c r="Y79" s="279">
        <v>109</v>
      </c>
      <c r="Z79" s="279">
        <v>110</v>
      </c>
      <c r="AA79" s="279">
        <v>44</v>
      </c>
      <c r="AB79" s="530">
        <f t="shared" si="320"/>
        <v>373</v>
      </c>
      <c r="AC79" s="279">
        <v>93</v>
      </c>
      <c r="AD79" s="279">
        <v>109</v>
      </c>
      <c r="AE79" s="279">
        <v>173</v>
      </c>
      <c r="AF79" s="279">
        <v>416</v>
      </c>
      <c r="AG79" s="530">
        <f t="shared" si="321"/>
        <v>791</v>
      </c>
      <c r="AH79" s="279">
        <v>633</v>
      </c>
      <c r="AI79" s="279">
        <v>864</v>
      </c>
      <c r="AJ79" s="279">
        <v>864</v>
      </c>
      <c r="AK79" s="279">
        <v>1364</v>
      </c>
      <c r="AL79" s="530">
        <f t="shared" si="322"/>
        <v>3725</v>
      </c>
      <c r="AM79" s="280">
        <f t="shared" ref="AM79:AO79" si="332">+AM65</f>
        <v>1520</v>
      </c>
      <c r="AN79" s="280">
        <f t="shared" si="332"/>
        <v>1520</v>
      </c>
      <c r="AO79" s="280">
        <f t="shared" si="332"/>
        <v>1520</v>
      </c>
      <c r="AP79" s="280">
        <f>+AP65</f>
        <v>1520</v>
      </c>
      <c r="AQ79" s="530">
        <f t="shared" si="323"/>
        <v>6080</v>
      </c>
      <c r="AR79" s="280">
        <f t="shared" ref="AR79:AT79" si="333">+AR65</f>
        <v>1520</v>
      </c>
      <c r="AS79" s="280">
        <f t="shared" si="333"/>
        <v>1520</v>
      </c>
      <c r="AT79" s="280">
        <f t="shared" si="333"/>
        <v>1604</v>
      </c>
      <c r="AU79" s="280">
        <f t="shared" ref="AU79:AX79" si="334">+AU65</f>
        <v>1645</v>
      </c>
      <c r="AV79" s="530">
        <f t="shared" si="324"/>
        <v>6289</v>
      </c>
      <c r="AW79" s="280">
        <f t="shared" si="334"/>
        <v>1645</v>
      </c>
      <c r="AX79" s="280">
        <f t="shared" si="334"/>
        <v>1646</v>
      </c>
      <c r="AY79" s="280">
        <f t="shared" ref="AY79:AZ79" si="335">+AY65</f>
        <v>1665</v>
      </c>
      <c r="AZ79" s="280">
        <f t="shared" si="335"/>
        <v>1705</v>
      </c>
      <c r="BA79" s="530">
        <f t="shared" si="325"/>
        <v>6661</v>
      </c>
      <c r="BB79" s="280">
        <f t="shared" ref="BB79" si="336">+BB65</f>
        <v>1706</v>
      </c>
      <c r="BC79" s="280">
        <f>1474</f>
        <v>1474</v>
      </c>
      <c r="BD79" s="280">
        <f t="shared" ref="BD79" si="337">+BD65</f>
        <v>1346</v>
      </c>
      <c r="BE79" s="280">
        <f>BE65</f>
        <v>1161</v>
      </c>
      <c r="BF79" s="530">
        <f t="shared" si="326"/>
        <v>5687</v>
      </c>
      <c r="BG79" s="280">
        <v>772</v>
      </c>
      <c r="BH79" s="280">
        <v>772</v>
      </c>
      <c r="BI79" s="280">
        <v>772</v>
      </c>
      <c r="BJ79" s="280">
        <f>771</f>
        <v>771</v>
      </c>
      <c r="BK79" s="530">
        <f t="shared" si="327"/>
        <v>3087</v>
      </c>
      <c r="BL79" s="280">
        <f>BL65</f>
        <v>772</v>
      </c>
      <c r="BM79" s="280">
        <f>BM65</f>
        <v>771</v>
      </c>
      <c r="BN79" s="280">
        <v>721</v>
      </c>
      <c r="BO79" s="713">
        <f>639</f>
        <v>639</v>
      </c>
      <c r="BP79" s="530">
        <f t="shared" si="328"/>
        <v>2903</v>
      </c>
      <c r="BQ79" s="280">
        <f>640</f>
        <v>640</v>
      </c>
      <c r="BR79" s="280">
        <f>BR65</f>
        <v>639</v>
      </c>
      <c r="BS79" s="280">
        <f>639</f>
        <v>639</v>
      </c>
      <c r="BT79" s="280">
        <f>639</f>
        <v>639</v>
      </c>
      <c r="BU79" s="530">
        <f t="shared" si="329"/>
        <v>2557</v>
      </c>
      <c r="BV79" s="280">
        <f>+BS!BV96</f>
        <v>638.25</v>
      </c>
      <c r="BW79" s="280">
        <f>+BS!BW96</f>
        <v>542.51249999999993</v>
      </c>
      <c r="BX79" s="280">
        <f>+BS!BX96</f>
        <v>461.135625</v>
      </c>
      <c r="BY79" s="280">
        <f>+BS!BY96</f>
        <v>391.96528125000003</v>
      </c>
      <c r="BZ79" s="530">
        <f t="shared" si="330"/>
        <v>2033.8634062499998</v>
      </c>
      <c r="CA79" s="280">
        <f>+BS!CA96</f>
        <v>444.22731875000011</v>
      </c>
      <c r="CB79" s="280">
        <f>+BS!CB96</f>
        <v>355.38185500000009</v>
      </c>
      <c r="CC79" s="280">
        <f>+BS!CC96</f>
        <v>284.30548400000009</v>
      </c>
      <c r="CD79" s="280">
        <f>+BS!CD96</f>
        <v>227.44438720000008</v>
      </c>
      <c r="CE79" s="530">
        <f t="shared" si="331"/>
        <v>1311.3590449500005</v>
      </c>
    </row>
    <row r="80" spans="1:83" s="121" customFormat="1" ht="13.15" hidden="1" outlineLevel="1">
      <c r="A80" s="121" t="s">
        <v>218</v>
      </c>
      <c r="B80" s="273"/>
      <c r="C80" s="275"/>
      <c r="D80" s="179">
        <f t="shared" ref="D80:AC80" si="338">+D78+D79</f>
        <v>1750</v>
      </c>
      <c r="E80" s="179">
        <f t="shared" si="338"/>
        <v>1796</v>
      </c>
      <c r="F80" s="179">
        <f t="shared" si="338"/>
        <v>1851</v>
      </c>
      <c r="G80" s="179">
        <f t="shared" si="338"/>
        <v>1944</v>
      </c>
      <c r="H80" s="179">
        <f t="shared" si="338"/>
        <v>7341</v>
      </c>
      <c r="I80" s="179">
        <f t="shared" si="338"/>
        <v>2119</v>
      </c>
      <c r="J80" s="179">
        <f t="shared" si="338"/>
        <v>2374</v>
      </c>
      <c r="K80" s="179">
        <f t="shared" si="338"/>
        <v>186</v>
      </c>
      <c r="L80" s="179">
        <f t="shared" si="338"/>
        <v>4933</v>
      </c>
      <c r="M80" s="179">
        <f t="shared" si="338"/>
        <v>9612</v>
      </c>
      <c r="N80" s="179">
        <f t="shared" si="338"/>
        <v>2805</v>
      </c>
      <c r="O80" s="179">
        <f t="shared" si="338"/>
        <v>2977</v>
      </c>
      <c r="P80" s="179">
        <f t="shared" si="338"/>
        <v>3044</v>
      </c>
      <c r="Q80" s="179">
        <f t="shared" si="338"/>
        <v>3071</v>
      </c>
      <c r="R80" s="555">
        <f t="shared" si="338"/>
        <v>11897</v>
      </c>
      <c r="S80" s="179">
        <f t="shared" si="338"/>
        <v>3182</v>
      </c>
      <c r="T80" s="179">
        <f t="shared" si="338"/>
        <v>3404</v>
      </c>
      <c r="U80" s="179">
        <f t="shared" si="338"/>
        <v>3838</v>
      </c>
      <c r="V80" s="179">
        <f t="shared" si="338"/>
        <v>3936</v>
      </c>
      <c r="W80" s="555">
        <f t="shared" si="338"/>
        <v>14360</v>
      </c>
      <c r="X80" s="179">
        <f t="shared" si="338"/>
        <v>3834</v>
      </c>
      <c r="Y80" s="179">
        <f t="shared" si="338"/>
        <v>3994</v>
      </c>
      <c r="Z80" s="179">
        <f t="shared" si="338"/>
        <v>4536</v>
      </c>
      <c r="AA80" s="179">
        <f t="shared" si="338"/>
        <v>4630</v>
      </c>
      <c r="AB80" s="555">
        <f t="shared" si="338"/>
        <v>16994</v>
      </c>
      <c r="AC80" s="179">
        <f t="shared" si="338"/>
        <v>4820</v>
      </c>
      <c r="AD80" s="179">
        <f t="shared" ref="AD80:AP80" si="339">+AD78+AD79</f>
        <v>4963</v>
      </c>
      <c r="AE80" s="179">
        <f t="shared" si="339"/>
        <v>5271</v>
      </c>
      <c r="AF80" s="179">
        <f t="shared" si="339"/>
        <v>5582</v>
      </c>
      <c r="AG80" s="555">
        <f t="shared" si="339"/>
        <v>20636</v>
      </c>
      <c r="AH80" s="179">
        <f t="shared" si="339"/>
        <v>7043</v>
      </c>
      <c r="AI80" s="327">
        <f t="shared" si="339"/>
        <v>7206</v>
      </c>
      <c r="AJ80" s="327">
        <f t="shared" si="339"/>
        <v>6974</v>
      </c>
      <c r="AK80" s="327">
        <f t="shared" si="339"/>
        <v>7680</v>
      </c>
      <c r="AL80" s="552">
        <f t="shared" si="339"/>
        <v>28903</v>
      </c>
      <c r="AM80" s="327">
        <f t="shared" si="339"/>
        <v>7935</v>
      </c>
      <c r="AN80" s="327">
        <f t="shared" si="339"/>
        <v>7874</v>
      </c>
      <c r="AO80" s="327">
        <f t="shared" si="339"/>
        <v>7677</v>
      </c>
      <c r="AP80" s="327">
        <f t="shared" si="339"/>
        <v>7715</v>
      </c>
      <c r="AQ80" s="552"/>
      <c r="AR80" s="327"/>
      <c r="AS80" s="327">
        <f t="shared" ref="AS80:AT80" si="340">+AS78+AS79</f>
        <v>7856</v>
      </c>
      <c r="AT80" s="327">
        <f t="shared" si="340"/>
        <v>8342</v>
      </c>
      <c r="AU80" s="327">
        <f t="shared" ref="AU80" si="341">+AU78+AU79</f>
        <v>8870</v>
      </c>
      <c r="AV80" s="552"/>
      <c r="AW80" s="327"/>
      <c r="AX80" s="327"/>
      <c r="AY80" s="327"/>
      <c r="AZ80" s="327"/>
      <c r="BA80" s="552"/>
      <c r="BB80" s="327"/>
      <c r="BC80" s="327"/>
      <c r="BD80" s="327"/>
      <c r="BE80" s="327"/>
      <c r="BF80" s="552"/>
      <c r="BG80" s="327"/>
      <c r="BH80" s="327"/>
      <c r="BI80" s="327"/>
      <c r="BJ80" s="327"/>
      <c r="BK80" s="552"/>
      <c r="BL80" s="327"/>
      <c r="BM80" s="327"/>
      <c r="BN80" s="280">
        <v>1033</v>
      </c>
      <c r="BO80" s="327"/>
      <c r="BP80" s="552"/>
      <c r="BQ80" s="327"/>
      <c r="BR80" s="327"/>
      <c r="BS80" s="327"/>
      <c r="BT80" s="327"/>
      <c r="BU80" s="552"/>
      <c r="BV80" s="327"/>
      <c r="BW80" s="327"/>
      <c r="BX80" s="327"/>
      <c r="BY80" s="327"/>
      <c r="BZ80" s="552"/>
      <c r="CA80" s="327"/>
      <c r="CB80" s="327"/>
      <c r="CC80" s="327"/>
      <c r="CD80" s="327"/>
      <c r="CE80" s="552"/>
    </row>
    <row r="81" spans="1:83" s="121" customFormat="1" ht="12.75" collapsed="1">
      <c r="A81" s="121" t="s">
        <v>218</v>
      </c>
      <c r="B81" s="273" t="s">
        <v>301</v>
      </c>
      <c r="C81" s="275"/>
      <c r="D81" s="280">
        <f>+SUM(D78:D79)</f>
        <v>1750</v>
      </c>
      <c r="E81" s="280">
        <f>+SUM(E78:E79)</f>
        <v>1796</v>
      </c>
      <c r="F81" s="280">
        <f>+SUM(F78:F79)</f>
        <v>1851</v>
      </c>
      <c r="G81" s="280">
        <f>+SUM(G78:G79)</f>
        <v>1944</v>
      </c>
      <c r="H81" s="280">
        <f>+CF!H8</f>
        <v>7341</v>
      </c>
      <c r="I81" s="280">
        <f t="shared" ref="I81:L81" si="342">+SUM(I78:I79)</f>
        <v>2119</v>
      </c>
      <c r="J81" s="280">
        <f t="shared" si="342"/>
        <v>2374</v>
      </c>
      <c r="K81" s="280">
        <f t="shared" si="342"/>
        <v>186</v>
      </c>
      <c r="L81" s="280">
        <f t="shared" si="342"/>
        <v>4933</v>
      </c>
      <c r="M81" s="280">
        <f>+CF!M8</f>
        <v>9612</v>
      </c>
      <c r="N81" s="280">
        <f>+CF!N8</f>
        <v>2805</v>
      </c>
      <c r="O81" s="280">
        <f>+CF!O8</f>
        <v>2977</v>
      </c>
      <c r="P81" s="280">
        <f>+CF!P8</f>
        <v>3044</v>
      </c>
      <c r="Q81" s="280">
        <f>+CF!Q8</f>
        <v>3071</v>
      </c>
      <c r="R81" s="530">
        <f>+CF!R8</f>
        <v>11897</v>
      </c>
      <c r="S81" s="280">
        <f>+CF!S8</f>
        <v>3182</v>
      </c>
      <c r="T81" s="280">
        <f>+CF!T8</f>
        <v>3404</v>
      </c>
      <c r="U81" s="280">
        <f>+CF!U8</f>
        <v>3838</v>
      </c>
      <c r="V81" s="280">
        <f>+CF!V8</f>
        <v>3936</v>
      </c>
      <c r="W81" s="530">
        <f>+CF!W8</f>
        <v>14360</v>
      </c>
      <c r="X81" s="280">
        <f>+CF!X8</f>
        <v>3834</v>
      </c>
      <c r="Y81" s="280">
        <f>+CF!Y8</f>
        <v>3994</v>
      </c>
      <c r="Z81" s="280">
        <f>+CF!Z8</f>
        <v>4536</v>
      </c>
      <c r="AA81" s="280">
        <f>+CF!AA8</f>
        <v>4630</v>
      </c>
      <c r="AB81" s="530">
        <f>+CF!AB8</f>
        <v>16994</v>
      </c>
      <c r="AC81" s="280">
        <f>+CF!AC8</f>
        <v>4820</v>
      </c>
      <c r="AD81" s="280">
        <f>+CF!AD8</f>
        <v>4963</v>
      </c>
      <c r="AE81" s="280">
        <f>+CF!AE8</f>
        <v>5271</v>
      </c>
      <c r="AF81" s="280">
        <f>+CF!AF8</f>
        <v>5582</v>
      </c>
      <c r="AG81" s="530">
        <f>+CF!AG8</f>
        <v>20636</v>
      </c>
      <c r="AH81" s="280">
        <f>+CF!AH8</f>
        <v>7043</v>
      </c>
      <c r="AI81" s="280">
        <f>+CF!AI8</f>
        <v>7206</v>
      </c>
      <c r="AJ81" s="280">
        <f>+CF!AJ8</f>
        <v>6975</v>
      </c>
      <c r="AK81" s="280">
        <f>+CF!AK8</f>
        <v>7681</v>
      </c>
      <c r="AL81" s="530">
        <f>+CF!AL8</f>
        <v>28905</v>
      </c>
      <c r="AM81" s="280">
        <f>+CF!AM8</f>
        <v>7935</v>
      </c>
      <c r="AN81" s="280">
        <f>+CF!AN8</f>
        <v>7874</v>
      </c>
      <c r="AO81" s="280">
        <f>+CF!AO8</f>
        <v>7677</v>
      </c>
      <c r="AP81" s="280">
        <f>+CF!AP8</f>
        <v>7715</v>
      </c>
      <c r="AQ81" s="530">
        <f>+BS!AQ86+BS!AQ96</f>
        <v>31201</v>
      </c>
      <c r="AR81" s="280">
        <f>+CF!AR8</f>
        <v>7747</v>
      </c>
      <c r="AS81" s="280">
        <f>+CF!AS8</f>
        <v>7886</v>
      </c>
      <c r="AT81" s="280">
        <f>+CF!AT8</f>
        <v>8342</v>
      </c>
      <c r="AU81" s="280">
        <f>+CF!AU8</f>
        <v>8870</v>
      </c>
      <c r="AV81" s="530">
        <f>+BS!AV86+BS!AV96</f>
        <v>32815</v>
      </c>
      <c r="AW81" s="280">
        <f>+CF!AW8</f>
        <v>9078</v>
      </c>
      <c r="AX81" s="280">
        <f>+CF!AX8</f>
        <v>8791</v>
      </c>
      <c r="AY81" s="280">
        <f>+CF!AY8</f>
        <v>8883</v>
      </c>
      <c r="AZ81" s="280">
        <f>+CF!AZ8</f>
        <v>9145</v>
      </c>
      <c r="BA81" s="530">
        <f>+BS!BA86+BS!BA96</f>
        <v>35897</v>
      </c>
      <c r="BB81" s="280">
        <f>+BS!BB86+BS!BB96</f>
        <v>8982</v>
      </c>
      <c r="BC81" s="280">
        <f>+BS!BC86+BS!BC96</f>
        <v>8571</v>
      </c>
      <c r="BD81" s="280">
        <f>+BS!BD86+BS!BD96</f>
        <v>8221</v>
      </c>
      <c r="BE81" s="280">
        <f>+BS!BE86+BS!BE96</f>
        <v>8849</v>
      </c>
      <c r="BF81" s="530">
        <f>+BS!BF86+BS!BF96</f>
        <v>34623</v>
      </c>
      <c r="BG81" s="280">
        <f>+BS!BG86+BS!BG96</f>
        <v>7444</v>
      </c>
      <c r="BH81" s="280">
        <f>+BS!BH86+BS!BH96</f>
        <v>7002</v>
      </c>
      <c r="BI81" s="280">
        <f>+BS!BI86+BS!BI96</f>
        <v>6694</v>
      </c>
      <c r="BJ81" s="280">
        <f>+BS!BJ86+BS!BJ96</f>
        <v>5851</v>
      </c>
      <c r="BK81" s="530">
        <f>+BS!BK86+BS!BK96</f>
        <v>26991</v>
      </c>
      <c r="BL81" s="280">
        <f>5239</f>
        <v>5239</v>
      </c>
      <c r="BM81" s="280">
        <f>4780</f>
        <v>4780</v>
      </c>
      <c r="BN81" s="280">
        <f>+BS!BN86+BS!BN96</f>
        <v>4391</v>
      </c>
      <c r="BO81" s="280">
        <f>+BS!BO86+BS!BO96</f>
        <v>4103</v>
      </c>
      <c r="BP81" s="530">
        <f>+BS!BP86+BS!BP96</f>
        <v>18513</v>
      </c>
      <c r="BQ81" s="280">
        <f>+BS!BQ86+BS!BQ96</f>
        <v>4177</v>
      </c>
      <c r="BR81" s="280">
        <f>+BS!BR86+BS!BR96</f>
        <v>3978</v>
      </c>
      <c r="BS81" s="280">
        <f>+BS!BS86+BS!BS96</f>
        <v>3198</v>
      </c>
      <c r="BT81" s="280">
        <f>+BS!BT86+BS!BT96</f>
        <v>3138</v>
      </c>
      <c r="BU81" s="530">
        <f>+BS!BU86+BS!BU96</f>
        <v>14491</v>
      </c>
      <c r="BV81" s="280">
        <f>+BS!BV86+BS!BV96</f>
        <v>4113.1499999999996</v>
      </c>
      <c r="BW81" s="280">
        <f>+BS!BW86+BS!BW96</f>
        <v>3782.4366847499991</v>
      </c>
      <c r="BX81" s="280">
        <f>+BS!BX86+BS!BX96</f>
        <v>2562.8731030250001</v>
      </c>
      <c r="BY81" s="280">
        <f>+BS!BY86+BS!BY96</f>
        <v>2557.4637364724999</v>
      </c>
      <c r="BZ81" s="530">
        <f>+BS!BZ86+BS!BZ96</f>
        <v>13015.923524247499</v>
      </c>
      <c r="CA81" s="280">
        <f>+BS!CA86+BS!CA96</f>
        <v>3789.641648300375</v>
      </c>
      <c r="CB81" s="280">
        <f>+BS!CB86+BS!CB96</f>
        <v>3480.0385074178184</v>
      </c>
      <c r="CC81" s="280">
        <f>+BS!CC86+BS!CC96</f>
        <v>2636.5800642841164</v>
      </c>
      <c r="CD81" s="280">
        <f>+BS!CD86+BS!CD96</f>
        <v>2529.742664650023</v>
      </c>
      <c r="CE81" s="530">
        <f>+BS!CE86+BS!CE96</f>
        <v>12436.002884652335</v>
      </c>
    </row>
    <row r="82" spans="1:83" s="121" customFormat="1" ht="13.15" hidden="1" outlineLevel="1">
      <c r="B82" s="273"/>
      <c r="C82" s="275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0"/>
      <c r="P82" s="280"/>
      <c r="Q82" s="280"/>
      <c r="R82" s="530"/>
      <c r="S82" s="280"/>
      <c r="T82" s="280"/>
      <c r="U82" s="280"/>
      <c r="V82" s="280"/>
      <c r="W82" s="530"/>
      <c r="X82" s="280"/>
      <c r="Y82" s="280"/>
      <c r="Z82" s="280"/>
      <c r="AA82" s="280"/>
      <c r="AB82" s="530"/>
      <c r="AC82" s="280"/>
      <c r="AD82" s="280"/>
      <c r="AE82" s="327"/>
      <c r="AF82" s="327"/>
      <c r="AG82" s="552"/>
      <c r="AH82" s="327"/>
      <c r="AI82" s="327"/>
      <c r="AJ82" s="327"/>
      <c r="AK82" s="327"/>
      <c r="AL82" s="552"/>
      <c r="AM82" s="327"/>
      <c r="AN82" s="327"/>
      <c r="AO82" s="327"/>
      <c r="AP82" s="327"/>
      <c r="AQ82" s="552"/>
      <c r="AR82" s="327"/>
      <c r="AS82" s="327"/>
      <c r="AT82" s="327"/>
      <c r="AU82" s="327"/>
      <c r="AV82" s="552"/>
      <c r="AW82" s="327"/>
      <c r="AX82" s="327"/>
      <c r="AY82" s="327"/>
      <c r="AZ82" s="327"/>
      <c r="BA82" s="552"/>
      <c r="BB82" s="327"/>
      <c r="BC82" s="327"/>
      <c r="BD82" s="327"/>
      <c r="BE82" s="327"/>
      <c r="BF82" s="552"/>
      <c r="BG82" s="327"/>
      <c r="BH82" s="327"/>
      <c r="BI82" s="327"/>
      <c r="BJ82" s="327"/>
      <c r="BK82" s="552"/>
      <c r="BL82" s="327"/>
      <c r="BM82" s="327"/>
      <c r="BN82" s="327"/>
      <c r="BO82" s="327"/>
      <c r="BP82" s="552"/>
      <c r="BQ82" s="327"/>
      <c r="BR82" s="327"/>
      <c r="BS82" s="327"/>
      <c r="BT82" s="327"/>
      <c r="BU82" s="552"/>
      <c r="BV82" s="327"/>
      <c r="BW82" s="327"/>
      <c r="BX82" s="327"/>
      <c r="BY82" s="327"/>
      <c r="BZ82" s="552"/>
      <c r="CA82" s="327"/>
      <c r="CB82" s="327"/>
      <c r="CC82" s="327"/>
      <c r="CD82" s="327"/>
      <c r="CE82" s="552"/>
    </row>
    <row r="83" spans="1:83" s="121" customFormat="1" ht="12.75" collapsed="1">
      <c r="B83" s="273" t="s">
        <v>289</v>
      </c>
      <c r="C83" s="275"/>
      <c r="D83" s="280">
        <f>+-IS!D45</f>
        <v>65</v>
      </c>
      <c r="E83" s="280">
        <f>+-IS!E45</f>
        <v>50</v>
      </c>
      <c r="F83" s="280">
        <f>+-IS!F45</f>
        <v>38</v>
      </c>
      <c r="G83" s="280">
        <f>+-IS!G45</f>
        <v>39</v>
      </c>
      <c r="H83" s="280">
        <f>+-IS!H45</f>
        <v>192</v>
      </c>
      <c r="I83" s="280">
        <f>+-IS!I45</f>
        <v>18</v>
      </c>
      <c r="J83" s="280">
        <f>+-IS!J45</f>
        <v>12</v>
      </c>
      <c r="K83" s="280">
        <f>+-IS!K45</f>
        <v>7</v>
      </c>
      <c r="L83" s="280">
        <f>+-IS!L45</f>
        <v>6</v>
      </c>
      <c r="M83" s="280">
        <f>+-IS!M45</f>
        <v>43</v>
      </c>
      <c r="N83" s="280">
        <f>+-IS!N45</f>
        <v>4</v>
      </c>
      <c r="O83" s="280">
        <f>+-IS!O45</f>
        <v>3</v>
      </c>
      <c r="P83" s="280">
        <f>+-IS!P45</f>
        <v>2</v>
      </c>
      <c r="Q83" s="280">
        <f>+-IS!Q45</f>
        <v>-87</v>
      </c>
      <c r="R83" s="530">
        <f>+-IS!R45</f>
        <v>-78</v>
      </c>
      <c r="S83" s="280">
        <f>+-IS!S45</f>
        <v>-101</v>
      </c>
      <c r="T83" s="280">
        <f>+-IS!T45</f>
        <v>4</v>
      </c>
      <c r="U83" s="280">
        <f>+-IS!U45</f>
        <v>-153</v>
      </c>
      <c r="V83" s="280">
        <f>+-IS!V45</f>
        <v>2</v>
      </c>
      <c r="W83" s="530">
        <f>+-IS!W45</f>
        <v>-248</v>
      </c>
      <c r="X83" s="280">
        <f>+-IS!X45</f>
        <v>13</v>
      </c>
      <c r="Y83" s="280">
        <f>+-IS!Y45</f>
        <v>1</v>
      </c>
      <c r="Z83" s="280">
        <f>+-IS!Z45</f>
        <v>9</v>
      </c>
      <c r="AA83" s="280">
        <f>+-IS!AA45</f>
        <v>3</v>
      </c>
      <c r="AB83" s="530">
        <f>+-IS!AB45</f>
        <v>26</v>
      </c>
      <c r="AC83" s="280">
        <f>+-IS!AC45</f>
        <v>2</v>
      </c>
      <c r="AD83" s="280">
        <f>+-IS!AD45</f>
        <v>1</v>
      </c>
      <c r="AE83" s="280">
        <f>+-IS!AE45</f>
        <v>0</v>
      </c>
      <c r="AF83" s="280">
        <f>+-IS!AF45</f>
        <v>0</v>
      </c>
      <c r="AG83" s="530">
        <f>+-IS!AG45</f>
        <v>3</v>
      </c>
      <c r="AH83" s="280">
        <f>+-IS!AH45</f>
        <v>38</v>
      </c>
      <c r="AI83" s="280">
        <f>+-IS!AI45</f>
        <v>39</v>
      </c>
      <c r="AJ83" s="280">
        <f>+-IS!AJ45</f>
        <v>35</v>
      </c>
      <c r="AK83" s="280">
        <f>+-IS!AK45</f>
        <v>60</v>
      </c>
      <c r="AL83" s="530">
        <f>+-IS!AL45</f>
        <v>172</v>
      </c>
      <c r="AM83" s="280">
        <f>+-IS!AM45</f>
        <v>42</v>
      </c>
      <c r="AN83" s="280">
        <f>+-IS!AN45</f>
        <v>28</v>
      </c>
      <c r="AO83" s="280">
        <f>+-IS!AO45</f>
        <v>28</v>
      </c>
      <c r="AP83" s="280">
        <f>+-IS!AP45</f>
        <v>8</v>
      </c>
      <c r="AQ83" s="530">
        <f>+-IS!AQ45</f>
        <v>106</v>
      </c>
      <c r="AR83" s="280">
        <f>+-IS!AR45</f>
        <v>3</v>
      </c>
      <c r="AS83" s="280">
        <f>+-IS!AS45</f>
        <v>0</v>
      </c>
      <c r="AT83" s="280">
        <f>+-IS!AT45</f>
        <v>1</v>
      </c>
      <c r="AU83" s="280">
        <f>+-IS!AU45</f>
        <v>5</v>
      </c>
      <c r="AV83" s="530">
        <f>+-IS!AV45</f>
        <v>9</v>
      </c>
      <c r="AW83" s="280">
        <f>+-IS!AW45</f>
        <v>4</v>
      </c>
      <c r="AX83" s="280">
        <f>+-IS!AX45</f>
        <v>0</v>
      </c>
      <c r="AY83" s="280">
        <f>+-IS!AY45</f>
        <v>0</v>
      </c>
      <c r="AZ83" s="280">
        <f>+-IS!AZ45</f>
        <v>-4</v>
      </c>
      <c r="BA83" s="530">
        <f>+-IS!BA45</f>
        <v>0</v>
      </c>
      <c r="BB83" s="280">
        <f>+-IS!BB45</f>
        <v>0</v>
      </c>
      <c r="BC83" s="280">
        <f>+-IS!BC45</f>
        <v>0</v>
      </c>
      <c r="BD83" s="280">
        <f>+-IS!BD45</f>
        <v>0</v>
      </c>
      <c r="BE83" s="280">
        <f>+-IS!BE45</f>
        <v>0</v>
      </c>
      <c r="BF83" s="530">
        <f>+-IS!BF45</f>
        <v>0</v>
      </c>
      <c r="BG83" s="280">
        <f>+-IS!BG45</f>
        <v>0</v>
      </c>
      <c r="BH83" s="280">
        <f>+-IS!BH45</f>
        <v>0</v>
      </c>
      <c r="BI83" s="280">
        <f>+-IS!BI45</f>
        <v>0</v>
      </c>
      <c r="BJ83" s="280">
        <f>+-IS!BJ45</f>
        <v>0</v>
      </c>
      <c r="BK83" s="530">
        <f>+-IS!BK45</f>
        <v>0</v>
      </c>
      <c r="BL83" s="280">
        <f>+-IS!BL45</f>
        <v>0</v>
      </c>
      <c r="BM83" s="280">
        <f>+-IS!BM45</f>
        <v>0</v>
      </c>
      <c r="BN83" s="280">
        <f>+-IS!BN45</f>
        <v>0</v>
      </c>
      <c r="BO83" s="280">
        <f>+-IS!BO45</f>
        <v>0</v>
      </c>
      <c r="BP83" s="530">
        <f>+-IS!BP45</f>
        <v>0</v>
      </c>
      <c r="BQ83" s="280">
        <f>+-IS!BQ45</f>
        <v>0</v>
      </c>
      <c r="BR83" s="280">
        <f>+-IS!BR45</f>
        <v>0</v>
      </c>
      <c r="BS83" s="280">
        <f>+-IS!BS45</f>
        <v>0</v>
      </c>
      <c r="BT83" s="280">
        <f>+-IS!BT45</f>
        <v>0</v>
      </c>
      <c r="BU83" s="530">
        <f>+-IS!BU45</f>
        <v>0</v>
      </c>
      <c r="BV83" s="280">
        <f>+-IS!BV45</f>
        <v>0</v>
      </c>
      <c r="BW83" s="280">
        <f>+-IS!BW45</f>
        <v>0</v>
      </c>
      <c r="BX83" s="280">
        <f>+-IS!BX45</f>
        <v>0</v>
      </c>
      <c r="BY83" s="280">
        <f>+-IS!BY45</f>
        <v>0</v>
      </c>
      <c r="BZ83" s="530">
        <f>+-IS!BZ45</f>
        <v>0</v>
      </c>
      <c r="CA83" s="280">
        <f>+-IS!CA45</f>
        <v>0</v>
      </c>
      <c r="CB83" s="280">
        <f>+-IS!CB45</f>
        <v>0</v>
      </c>
      <c r="CC83" s="280">
        <f>+-IS!CC45</f>
        <v>0</v>
      </c>
      <c r="CD83" s="280">
        <f>+-IS!CD45</f>
        <v>0</v>
      </c>
      <c r="CE83" s="530">
        <f>+-IS!CE45</f>
        <v>0</v>
      </c>
    </row>
    <row r="84" spans="1:83" s="121" customFormat="1" ht="13.15" hidden="1" outlineLevel="1">
      <c r="B84" s="273"/>
      <c r="C84" s="275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530"/>
      <c r="S84" s="280"/>
      <c r="T84" s="280"/>
      <c r="U84" s="280"/>
      <c r="V84" s="280"/>
      <c r="W84" s="530"/>
      <c r="X84" s="280"/>
      <c r="Y84" s="280"/>
      <c r="Z84" s="280"/>
      <c r="AA84" s="280"/>
      <c r="AB84" s="530"/>
      <c r="AC84" s="280"/>
      <c r="AD84" s="280"/>
      <c r="AE84" s="327"/>
      <c r="AF84" s="327"/>
      <c r="AG84" s="552"/>
      <c r="AH84" s="327"/>
      <c r="AI84" s="327"/>
      <c r="AJ84" s="327"/>
      <c r="AK84" s="327"/>
      <c r="AL84" s="552"/>
      <c r="AM84" s="327"/>
      <c r="AN84" s="327"/>
      <c r="AO84" s="327"/>
      <c r="AP84" s="327"/>
      <c r="AQ84" s="552"/>
      <c r="AR84" s="327"/>
      <c r="AS84" s="327"/>
      <c r="AT84" s="327"/>
      <c r="AU84" s="327"/>
      <c r="AV84" s="552"/>
      <c r="AW84" s="327"/>
      <c r="AX84" s="327"/>
      <c r="AY84" s="327"/>
      <c r="AZ84" s="327"/>
      <c r="BA84" s="552"/>
      <c r="BB84" s="327"/>
      <c r="BC84" s="327"/>
      <c r="BD84" s="327"/>
      <c r="BE84" s="327"/>
      <c r="BF84" s="552"/>
      <c r="BG84" s="327"/>
      <c r="BH84" s="327"/>
      <c r="BI84" s="327"/>
      <c r="BJ84" s="327"/>
      <c r="BK84" s="552"/>
      <c r="BL84" s="327"/>
      <c r="BM84" s="327"/>
      <c r="BN84" s="327"/>
      <c r="BO84" s="327"/>
      <c r="BP84" s="552"/>
      <c r="BQ84" s="327"/>
      <c r="BR84" s="327"/>
      <c r="BS84" s="327"/>
      <c r="BT84" s="327"/>
      <c r="BU84" s="552"/>
      <c r="BV84" s="327"/>
      <c r="BW84" s="327"/>
      <c r="BX84" s="327"/>
      <c r="BY84" s="327"/>
      <c r="BZ84" s="552"/>
      <c r="CA84" s="327"/>
      <c r="CB84" s="327"/>
      <c r="CC84" s="327"/>
      <c r="CD84" s="327"/>
      <c r="CE84" s="552"/>
    </row>
    <row r="85" spans="1:83" s="121" customFormat="1" ht="12.75" collapsed="1">
      <c r="B85" s="273" t="s">
        <v>302</v>
      </c>
      <c r="C85" s="275"/>
      <c r="D85" s="280">
        <f t="shared" ref="D85:AL85" si="343">+D70</f>
        <v>78</v>
      </c>
      <c r="E85" s="280">
        <f t="shared" si="343"/>
        <v>-78</v>
      </c>
      <c r="F85" s="280">
        <f t="shared" si="343"/>
        <v>77</v>
      </c>
      <c r="G85" s="280">
        <f t="shared" si="343"/>
        <v>282</v>
      </c>
      <c r="H85" s="280">
        <f t="shared" si="343"/>
        <v>359</v>
      </c>
      <c r="I85" s="280">
        <f t="shared" si="343"/>
        <v>70</v>
      </c>
      <c r="J85" s="280">
        <f t="shared" si="343"/>
        <v>92</v>
      </c>
      <c r="K85" s="280">
        <f t="shared" si="343"/>
        <v>210</v>
      </c>
      <c r="L85" s="280">
        <f t="shared" si="343"/>
        <v>128</v>
      </c>
      <c r="M85" s="280">
        <f t="shared" si="343"/>
        <v>500</v>
      </c>
      <c r="N85" s="280">
        <f t="shared" si="343"/>
        <v>182</v>
      </c>
      <c r="O85" s="280">
        <f t="shared" si="343"/>
        <v>174</v>
      </c>
      <c r="P85" s="280">
        <f t="shared" si="343"/>
        <v>283</v>
      </c>
      <c r="Q85" s="280">
        <f t="shared" si="343"/>
        <v>-22127</v>
      </c>
      <c r="R85" s="530">
        <f t="shared" si="343"/>
        <v>-21488</v>
      </c>
      <c r="S85" s="280">
        <f t="shared" si="343"/>
        <v>1841</v>
      </c>
      <c r="T85" s="280">
        <f t="shared" si="343"/>
        <v>2124</v>
      </c>
      <c r="U85" s="280">
        <f t="shared" si="343"/>
        <v>2601</v>
      </c>
      <c r="V85" s="280">
        <f t="shared" si="343"/>
        <v>2089</v>
      </c>
      <c r="W85" s="530">
        <f t="shared" si="343"/>
        <v>8655</v>
      </c>
      <c r="X85" s="280">
        <f t="shared" si="343"/>
        <v>2982.0000000000009</v>
      </c>
      <c r="Y85" s="280">
        <f t="shared" si="343"/>
        <v>2214</v>
      </c>
      <c r="Z85" s="280">
        <f t="shared" si="343"/>
        <v>3221</v>
      </c>
      <c r="AA85" s="280">
        <f t="shared" si="343"/>
        <v>2787.9999999999991</v>
      </c>
      <c r="AB85" s="530">
        <f t="shared" si="343"/>
        <v>11205</v>
      </c>
      <c r="AC85" s="280">
        <f t="shared" si="343"/>
        <v>-13821</v>
      </c>
      <c r="AD85" s="280">
        <f t="shared" si="343"/>
        <v>2167</v>
      </c>
      <c r="AE85" s="280">
        <f t="shared" si="343"/>
        <v>3068</v>
      </c>
      <c r="AF85" s="280">
        <f t="shared" si="343"/>
        <v>7524</v>
      </c>
      <c r="AG85" s="530">
        <f t="shared" si="343"/>
        <v>-1062</v>
      </c>
      <c r="AH85" s="280">
        <f t="shared" si="343"/>
        <v>509</v>
      </c>
      <c r="AI85" s="280">
        <f t="shared" si="343"/>
        <v>1486</v>
      </c>
      <c r="AJ85" s="280">
        <f t="shared" si="343"/>
        <v>-4236</v>
      </c>
      <c r="AK85" s="280">
        <f t="shared" si="343"/>
        <v>405</v>
      </c>
      <c r="AL85" s="530">
        <f t="shared" si="343"/>
        <v>-1836</v>
      </c>
      <c r="AM85" s="280">
        <f t="shared" ref="AM85:AQ85" si="344">+AM70</f>
        <v>2571</v>
      </c>
      <c r="AN85" s="280">
        <f t="shared" si="344"/>
        <v>2277</v>
      </c>
      <c r="AO85" s="280">
        <f t="shared" si="344"/>
        <v>5161</v>
      </c>
      <c r="AP85" s="280">
        <f t="shared" si="344"/>
        <v>638</v>
      </c>
      <c r="AQ85" s="530">
        <f t="shared" si="344"/>
        <v>10647</v>
      </c>
      <c r="AR85" s="280">
        <f t="shared" ref="AR85:AV85" si="345">+AR70</f>
        <v>3523</v>
      </c>
      <c r="AS85" s="280">
        <f t="shared" si="345"/>
        <v>775</v>
      </c>
      <c r="AT85" s="280">
        <f t="shared" si="345"/>
        <v>4891</v>
      </c>
      <c r="AU85" s="280">
        <f t="shared" ref="AU85" si="346">+AU70</f>
        <v>1276</v>
      </c>
      <c r="AV85" s="530">
        <f t="shared" si="345"/>
        <v>10465</v>
      </c>
      <c r="AW85" s="280">
        <f t="shared" ref="AW85" si="347">+AW70</f>
        <v>-2435</v>
      </c>
      <c r="AX85" s="280">
        <f t="shared" ref="AX85:BA85" si="348">+AX70</f>
        <v>8707</v>
      </c>
      <c r="AY85" s="280">
        <f t="shared" ref="AY85:AZ85" si="349">+AY70</f>
        <v>7889</v>
      </c>
      <c r="AZ85" s="280">
        <f t="shared" si="349"/>
        <v>7883</v>
      </c>
      <c r="BA85" s="530">
        <f t="shared" si="348"/>
        <v>22044</v>
      </c>
      <c r="BB85" s="280">
        <f t="shared" ref="BB85:BF85" si="350">+BB70</f>
        <v>7933</v>
      </c>
      <c r="BC85" s="280">
        <f t="shared" si="350"/>
        <v>5526</v>
      </c>
      <c r="BD85" s="280">
        <f t="shared" si="350"/>
        <v>6178</v>
      </c>
      <c r="BE85" s="280">
        <f t="shared" si="350"/>
        <v>6071</v>
      </c>
      <c r="BF85" s="530">
        <f t="shared" si="350"/>
        <v>25708</v>
      </c>
      <c r="BG85" s="280">
        <f t="shared" ref="BG85:BK85" si="351">+BG70</f>
        <v>8956.7999999999993</v>
      </c>
      <c r="BH85" s="280">
        <f t="shared" si="351"/>
        <v>10295</v>
      </c>
      <c r="BI85" s="280">
        <f t="shared" si="351"/>
        <v>1508</v>
      </c>
      <c r="BJ85" s="280">
        <f t="shared" si="351"/>
        <v>6999</v>
      </c>
      <c r="BK85" s="530">
        <f t="shared" si="351"/>
        <v>27758.799999999999</v>
      </c>
      <c r="BL85" s="280">
        <f t="shared" ref="BL85:BP85" si="352">+BL70</f>
        <v>9754</v>
      </c>
      <c r="BM85" s="280">
        <f t="shared" si="352"/>
        <v>10412</v>
      </c>
      <c r="BN85" s="280">
        <f t="shared" si="352"/>
        <v>6111</v>
      </c>
      <c r="BO85" s="280">
        <f t="shared" si="352"/>
        <v>9865</v>
      </c>
      <c r="BP85" s="530">
        <f t="shared" si="352"/>
        <v>36142</v>
      </c>
      <c r="BQ85" s="280">
        <f t="shared" ref="BQ85:BU85" si="353">+BQ70</f>
        <v>10773</v>
      </c>
      <c r="BR85" s="280">
        <f t="shared" si="353"/>
        <v>11523</v>
      </c>
      <c r="BS85" s="280">
        <f t="shared" si="353"/>
        <v>14936</v>
      </c>
      <c r="BT85" s="280">
        <f t="shared" si="353"/>
        <v>11276</v>
      </c>
      <c r="BU85" s="530">
        <f t="shared" si="353"/>
        <v>48508</v>
      </c>
      <c r="BV85" s="280">
        <f t="shared" ref="BV85:BZ85" si="354">+BV70</f>
        <v>11965.0906335</v>
      </c>
      <c r="BW85" s="280">
        <f t="shared" si="354"/>
        <v>11712.352859000006</v>
      </c>
      <c r="BX85" s="280">
        <f t="shared" si="354"/>
        <v>12225.665278049999</v>
      </c>
      <c r="BY85" s="280">
        <f t="shared" si="354"/>
        <v>12305.609365637503</v>
      </c>
      <c r="BZ85" s="530">
        <f t="shared" si="354"/>
        <v>48208.718136187512</v>
      </c>
      <c r="CA85" s="280">
        <f t="shared" ref="CA85:CE85" si="355">+CA70</f>
        <v>12730.190118428904</v>
      </c>
      <c r="CB85" s="280">
        <f t="shared" si="355"/>
        <v>13045.408862762193</v>
      </c>
      <c r="CC85" s="280">
        <f t="shared" si="355"/>
        <v>13645.585966567054</v>
      </c>
      <c r="CD85" s="280">
        <f t="shared" si="355"/>
        <v>14596.666779481371</v>
      </c>
      <c r="CE85" s="530">
        <f t="shared" si="355"/>
        <v>54017.851727239526</v>
      </c>
    </row>
    <row r="86" spans="1:83" ht="6" customHeight="1">
      <c r="B86" s="273"/>
      <c r="C86" s="275"/>
      <c r="D86" s="288" t="s">
        <v>0</v>
      </c>
      <c r="E86" s="288" t="s">
        <v>0</v>
      </c>
      <c r="F86" s="288" t="s">
        <v>0</v>
      </c>
      <c r="G86" s="288" t="s">
        <v>0</v>
      </c>
      <c r="H86" s="310" t="s">
        <v>0</v>
      </c>
      <c r="I86" s="288" t="s">
        <v>0</v>
      </c>
      <c r="J86" s="288" t="s">
        <v>0</v>
      </c>
      <c r="K86" s="288" t="s">
        <v>0</v>
      </c>
      <c r="L86" s="288" t="s">
        <v>0</v>
      </c>
      <c r="M86" s="288" t="s">
        <v>0</v>
      </c>
      <c r="N86" s="288" t="s">
        <v>0</v>
      </c>
      <c r="O86" s="288" t="s">
        <v>0</v>
      </c>
      <c r="P86" s="288" t="s">
        <v>0</v>
      </c>
      <c r="Q86" s="288" t="s">
        <v>0</v>
      </c>
      <c r="R86" s="531" t="s">
        <v>0</v>
      </c>
      <c r="S86" s="288" t="s">
        <v>0</v>
      </c>
      <c r="T86" s="288" t="s">
        <v>0</v>
      </c>
      <c r="U86" s="288" t="s">
        <v>0</v>
      </c>
      <c r="V86" s="288" t="s">
        <v>0</v>
      </c>
      <c r="W86" s="531" t="s">
        <v>0</v>
      </c>
      <c r="X86" s="288" t="s">
        <v>0</v>
      </c>
      <c r="Y86" s="288" t="s">
        <v>0</v>
      </c>
      <c r="Z86" s="288" t="s">
        <v>0</v>
      </c>
      <c r="AA86" s="288" t="s">
        <v>0</v>
      </c>
      <c r="AB86" s="531" t="s">
        <v>0</v>
      </c>
      <c r="AC86" s="288" t="s">
        <v>0</v>
      </c>
      <c r="AD86" s="288" t="s">
        <v>0</v>
      </c>
      <c r="AE86" s="288" t="s">
        <v>0</v>
      </c>
      <c r="AF86" s="288" t="s">
        <v>0</v>
      </c>
      <c r="AG86" s="531" t="s">
        <v>0</v>
      </c>
      <c r="AH86" s="288" t="s">
        <v>0</v>
      </c>
      <c r="AI86" s="288" t="s">
        <v>0</v>
      </c>
      <c r="AJ86" s="288" t="s">
        <v>0</v>
      </c>
      <c r="AK86" s="288" t="s">
        <v>0</v>
      </c>
      <c r="AL86" s="531" t="s">
        <v>0</v>
      </c>
      <c r="AM86" s="288" t="s">
        <v>0</v>
      </c>
      <c r="AN86" s="288" t="s">
        <v>0</v>
      </c>
      <c r="AO86" s="288" t="s">
        <v>0</v>
      </c>
      <c r="AP86" s="288" t="s">
        <v>0</v>
      </c>
      <c r="AQ86" s="531" t="s">
        <v>0</v>
      </c>
      <c r="AR86" s="310" t="s">
        <v>0</v>
      </c>
      <c r="AS86" s="310" t="s">
        <v>0</v>
      </c>
      <c r="AT86" s="310" t="s">
        <v>0</v>
      </c>
      <c r="AU86" s="310" t="s">
        <v>0</v>
      </c>
      <c r="AV86" s="695" t="s">
        <v>0</v>
      </c>
      <c r="AW86" s="310" t="s">
        <v>0</v>
      </c>
      <c r="AX86" s="310" t="s">
        <v>0</v>
      </c>
      <c r="AY86" s="310" t="s">
        <v>0</v>
      </c>
      <c r="AZ86" s="310" t="s">
        <v>0</v>
      </c>
      <c r="BA86" s="531" t="s">
        <v>0</v>
      </c>
      <c r="BB86" s="288" t="s">
        <v>0</v>
      </c>
      <c r="BC86" s="288" t="s">
        <v>0</v>
      </c>
      <c r="BD86" s="288" t="s">
        <v>0</v>
      </c>
      <c r="BE86" s="288" t="s">
        <v>0</v>
      </c>
      <c r="BF86" s="531" t="s">
        <v>0</v>
      </c>
      <c r="BG86" s="288" t="s">
        <v>0</v>
      </c>
      <c r="BH86" s="288" t="s">
        <v>0</v>
      </c>
      <c r="BI86" s="288" t="s">
        <v>0</v>
      </c>
      <c r="BJ86" s="288" t="s">
        <v>0</v>
      </c>
      <c r="BK86" s="531" t="s">
        <v>0</v>
      </c>
      <c r="BL86" s="288" t="s">
        <v>0</v>
      </c>
      <c r="BM86" s="288" t="s">
        <v>0</v>
      </c>
      <c r="BN86" s="288" t="s">
        <v>0</v>
      </c>
      <c r="BO86" s="288" t="s">
        <v>0</v>
      </c>
      <c r="BP86" s="531" t="s">
        <v>0</v>
      </c>
      <c r="BQ86" s="288" t="s">
        <v>0</v>
      </c>
      <c r="BR86" s="288" t="s">
        <v>0</v>
      </c>
      <c r="BS86" s="288" t="s">
        <v>0</v>
      </c>
      <c r="BT86" s="288" t="s">
        <v>0</v>
      </c>
      <c r="BU86" s="531" t="s">
        <v>0</v>
      </c>
      <c r="BV86" s="288" t="s">
        <v>0</v>
      </c>
      <c r="BW86" s="288" t="s">
        <v>0</v>
      </c>
      <c r="BX86" s="288" t="s">
        <v>0</v>
      </c>
      <c r="BY86" s="288" t="s">
        <v>0</v>
      </c>
      <c r="BZ86" s="531" t="s">
        <v>0</v>
      </c>
      <c r="CA86" s="288" t="s">
        <v>0</v>
      </c>
      <c r="CB86" s="288" t="s">
        <v>0</v>
      </c>
      <c r="CC86" s="288" t="s">
        <v>0</v>
      </c>
      <c r="CD86" s="288" t="s">
        <v>0</v>
      </c>
      <c r="CE86" s="531" t="s">
        <v>0</v>
      </c>
    </row>
    <row r="87" spans="1:83" s="121" customFormat="1" ht="12.75">
      <c r="B87" s="273" t="s">
        <v>208</v>
      </c>
      <c r="C87" s="280"/>
      <c r="D87" s="280">
        <f t="shared" ref="D87:AD87" si="356">+SUM(D77:D85)-D78-D79-D84-D82-D80</f>
        <v>1608</v>
      </c>
      <c r="E87" s="280">
        <f t="shared" si="356"/>
        <v>1491</v>
      </c>
      <c r="F87" s="280">
        <f t="shared" si="356"/>
        <v>3633</v>
      </c>
      <c r="G87" s="280">
        <f t="shared" si="356"/>
        <v>3440</v>
      </c>
      <c r="H87" s="280">
        <f t="shared" si="356"/>
        <v>10172</v>
      </c>
      <c r="I87" s="280">
        <f t="shared" si="356"/>
        <v>1604</v>
      </c>
      <c r="J87" s="280">
        <f t="shared" si="356"/>
        <v>3351</v>
      </c>
      <c r="K87" s="280">
        <f t="shared" si="356"/>
        <v>1712</v>
      </c>
      <c r="L87" s="280">
        <f t="shared" si="356"/>
        <v>5112</v>
      </c>
      <c r="M87" s="280">
        <f t="shared" si="356"/>
        <v>11779</v>
      </c>
      <c r="N87" s="280">
        <f t="shared" si="356"/>
        <v>2551</v>
      </c>
      <c r="O87" s="280">
        <f t="shared" si="356"/>
        <v>4860</v>
      </c>
      <c r="P87" s="280">
        <f t="shared" si="356"/>
        <v>6537</v>
      </c>
      <c r="Q87" s="280">
        <f t="shared" si="356"/>
        <v>6627</v>
      </c>
      <c r="R87" s="530">
        <f t="shared" si="356"/>
        <v>20575</v>
      </c>
      <c r="S87" s="280">
        <f t="shared" si="356"/>
        <v>7924</v>
      </c>
      <c r="T87" s="280">
        <f t="shared" si="356"/>
        <v>8848</v>
      </c>
      <c r="U87" s="280">
        <f t="shared" si="356"/>
        <v>10409</v>
      </c>
      <c r="V87" s="280">
        <f t="shared" si="356"/>
        <v>11451</v>
      </c>
      <c r="W87" s="530">
        <f t="shared" si="356"/>
        <v>38632</v>
      </c>
      <c r="X87" s="280">
        <f t="shared" si="356"/>
        <v>11612</v>
      </c>
      <c r="Y87" s="280">
        <f t="shared" si="356"/>
        <v>9747</v>
      </c>
      <c r="Z87" s="280">
        <f t="shared" si="356"/>
        <v>12762</v>
      </c>
      <c r="AA87" s="280">
        <f t="shared" si="356"/>
        <v>13328</v>
      </c>
      <c r="AB87" s="530">
        <f t="shared" si="356"/>
        <v>47449</v>
      </c>
      <c r="AC87" s="280">
        <f t="shared" si="356"/>
        <v>12931</v>
      </c>
      <c r="AD87" s="280">
        <f t="shared" si="356"/>
        <v>14333</v>
      </c>
      <c r="AE87" s="280">
        <f>+SUM(AE77:AE85)-AE78-AE79-AE84-AE82-AE80</f>
        <v>16791</v>
      </c>
      <c r="AF87" s="280">
        <f t="shared" ref="AF87:AL87" si="357">+SUM(AF77:AF85)-AF78-AF79-AF84-AF82-AF80</f>
        <v>15962</v>
      </c>
      <c r="AG87" s="530">
        <f t="shared" si="357"/>
        <v>60017</v>
      </c>
      <c r="AH87" s="280">
        <f t="shared" si="357"/>
        <v>16732</v>
      </c>
      <c r="AI87" s="280">
        <f t="shared" si="357"/>
        <v>19024</v>
      </c>
      <c r="AJ87" s="280">
        <f t="shared" si="357"/>
        <v>26243</v>
      </c>
      <c r="AK87" s="280">
        <f t="shared" si="357"/>
        <v>22546</v>
      </c>
      <c r="AL87" s="530">
        <f t="shared" si="357"/>
        <v>84545</v>
      </c>
      <c r="AM87" s="280">
        <f t="shared" ref="AM87:AQ87" si="358">+SUM(AM77:AM85)-AM78-AM79-AM84-AM82-AM80</f>
        <v>23814</v>
      </c>
      <c r="AN87" s="280">
        <f t="shared" si="358"/>
        <v>26411</v>
      </c>
      <c r="AO87" s="280">
        <f t="shared" si="358"/>
        <v>32040</v>
      </c>
      <c r="AP87" s="280">
        <f t="shared" si="358"/>
        <v>29025</v>
      </c>
      <c r="AQ87" s="530">
        <f t="shared" si="358"/>
        <v>110705</v>
      </c>
      <c r="AR87" s="280">
        <f t="shared" ref="AR87:AV87" si="359">+SUM(AR77:AR85)-AR78-AR79-AR84-AR82-AR80</f>
        <v>29967</v>
      </c>
      <c r="AS87" s="280">
        <f t="shared" si="359"/>
        <v>34980</v>
      </c>
      <c r="AT87" s="280">
        <f t="shared" si="359"/>
        <v>35977</v>
      </c>
      <c r="AU87" s="280">
        <f t="shared" ref="AU87" si="360">+SUM(AU77:AU85)-AU78-AU79-AU84-AU82-AU80</f>
        <v>33967</v>
      </c>
      <c r="AV87" s="530">
        <f t="shared" si="359"/>
        <v>134861</v>
      </c>
      <c r="AW87" s="280">
        <f t="shared" ref="AW87:BA87" si="361">+SUM(AW77:AW85)-AW78-AW79-AW84-AW82-AW80</f>
        <v>6875</v>
      </c>
      <c r="AX87" s="280">
        <f t="shared" si="361"/>
        <v>38640</v>
      </c>
      <c r="AY87" s="280">
        <f t="shared" ref="AY87" si="362">+SUM(AY77:AY85)-AY78-AY79-AY84-AY82-AY80</f>
        <v>40934</v>
      </c>
      <c r="AZ87" s="280">
        <f t="shared" si="361"/>
        <v>38845</v>
      </c>
      <c r="BA87" s="530">
        <f t="shared" si="361"/>
        <v>125294</v>
      </c>
      <c r="BB87" s="280">
        <f t="shared" ref="BB87:BF87" si="363">+SUM(BB77:BB85)-BB78-BB79-BB84-BB82-BB80</f>
        <v>42325</v>
      </c>
      <c r="BC87" s="280">
        <f t="shared" si="363"/>
        <v>40693</v>
      </c>
      <c r="BD87" s="280">
        <f t="shared" si="363"/>
        <v>42059</v>
      </c>
      <c r="BE87" s="280">
        <f t="shared" si="363"/>
        <v>43246</v>
      </c>
      <c r="BF87" s="530">
        <f t="shared" si="363"/>
        <v>168322</v>
      </c>
      <c r="BG87" s="280">
        <f t="shared" ref="BG87:BK87" si="364">+SUM(BG77:BG85)-BG78-BG79-BG84-BG82-BG80</f>
        <v>44803</v>
      </c>
      <c r="BH87" s="280">
        <f t="shared" si="364"/>
        <v>52679</v>
      </c>
      <c r="BI87" s="280">
        <f t="shared" si="364"/>
        <v>54717</v>
      </c>
      <c r="BJ87" s="280">
        <f t="shared" si="364"/>
        <v>53443</v>
      </c>
      <c r="BK87" s="530">
        <f t="shared" si="364"/>
        <v>205642</v>
      </c>
      <c r="BL87" s="280">
        <f t="shared" ref="BL87:BP87" si="365">+SUM(BL77:BL85)-BL78-BL79-BL84-BL82-BL80</f>
        <v>54724</v>
      </c>
      <c r="BM87" s="280">
        <f t="shared" si="365"/>
        <v>58964</v>
      </c>
      <c r="BN87" s="280">
        <f t="shared" si="365"/>
        <v>56714</v>
      </c>
      <c r="BO87" s="280">
        <f t="shared" si="365"/>
        <v>57933</v>
      </c>
      <c r="BP87" s="530">
        <f t="shared" si="365"/>
        <v>228335</v>
      </c>
      <c r="BQ87" s="280">
        <f t="shared" ref="BQ87:BU87" si="366">+SUM(BQ77:BQ85)-BQ78-BQ79-BQ84-BQ82-BQ80</f>
        <v>62484</v>
      </c>
      <c r="BR87" s="280">
        <f t="shared" si="366"/>
        <v>62791</v>
      </c>
      <c r="BS87" s="280">
        <f t="shared" si="366"/>
        <v>68480</v>
      </c>
      <c r="BT87" s="280">
        <f t="shared" si="366"/>
        <v>67564</v>
      </c>
      <c r="BU87" s="530">
        <f t="shared" si="366"/>
        <v>261319</v>
      </c>
      <c r="BV87" s="280">
        <f t="shared" ref="BV87:BZ87" si="367">+SUM(BV77:BV85)-BV78-BV79-BV84-BV82-BV80</f>
        <v>64924.712950000016</v>
      </c>
      <c r="BW87" s="280">
        <f t="shared" si="367"/>
        <v>63345.854884750028</v>
      </c>
      <c r="BX87" s="280">
        <f t="shared" si="367"/>
        <v>64673.027812024986</v>
      </c>
      <c r="BY87" s="280">
        <f t="shared" si="367"/>
        <v>65042.867528722512</v>
      </c>
      <c r="BZ87" s="530">
        <f t="shared" si="367"/>
        <v>257986.4631754976</v>
      </c>
      <c r="CA87" s="280">
        <f t="shared" ref="CA87:CE87" si="368">+SUM(CA77:CA85)-CA78-CA79-CA84-CA82-CA80</f>
        <v>68399.651847382396</v>
      </c>
      <c r="CB87" s="280">
        <f t="shared" si="368"/>
        <v>69672.802149978772</v>
      </c>
      <c r="CC87" s="280">
        <f t="shared" si="368"/>
        <v>71846.627866319395</v>
      </c>
      <c r="CD87" s="280">
        <f t="shared" si="368"/>
        <v>76468.771792316868</v>
      </c>
      <c r="CE87" s="530">
        <f t="shared" si="368"/>
        <v>286387.85365599743</v>
      </c>
    </row>
    <row r="88" spans="1:83" s="121" customFormat="1" ht="13.15" hidden="1" outlineLevel="1">
      <c r="B88" s="273"/>
      <c r="C88" s="280"/>
      <c r="D88" s="280"/>
      <c r="E88" s="280"/>
      <c r="F88" s="280"/>
      <c r="G88" s="280"/>
      <c r="H88" s="280"/>
      <c r="I88" s="280"/>
      <c r="J88" s="280"/>
      <c r="K88" s="280"/>
      <c r="L88" s="280"/>
      <c r="M88" s="280"/>
      <c r="N88" s="280"/>
      <c r="O88" s="280"/>
      <c r="P88" s="280"/>
      <c r="Q88" s="280"/>
      <c r="R88" s="530"/>
      <c r="S88" s="280"/>
      <c r="T88" s="280"/>
      <c r="U88" s="280"/>
      <c r="V88" s="280"/>
      <c r="W88" s="530"/>
      <c r="X88" s="327"/>
      <c r="Y88" s="327"/>
      <c r="Z88" s="327"/>
      <c r="AA88" s="327"/>
      <c r="AB88" s="557"/>
      <c r="AC88" s="327"/>
      <c r="AD88" s="327"/>
      <c r="AE88" s="327"/>
      <c r="AF88" s="327"/>
      <c r="AG88" s="552"/>
      <c r="AH88" s="327"/>
      <c r="AI88" s="327"/>
      <c r="AJ88" s="327"/>
      <c r="AK88" s="327"/>
      <c r="AL88" s="552"/>
      <c r="AM88" s="327"/>
      <c r="AN88" s="327"/>
      <c r="AO88" s="327"/>
      <c r="AP88" s="327"/>
      <c r="AQ88" s="552"/>
      <c r="AR88" s="327"/>
      <c r="AS88" s="327"/>
      <c r="AT88" s="327"/>
      <c r="AU88" s="327"/>
      <c r="AV88" s="552"/>
      <c r="AW88" s="327"/>
      <c r="AX88" s="327"/>
      <c r="AY88" s="327"/>
      <c r="AZ88" s="327"/>
      <c r="BA88" s="552"/>
      <c r="BB88" s="327"/>
      <c r="BC88" s="327"/>
      <c r="BD88" s="327"/>
      <c r="BE88" s="327"/>
      <c r="BF88" s="552"/>
      <c r="BG88" s="327"/>
      <c r="BH88" s="327"/>
      <c r="BI88" s="327"/>
      <c r="BJ88" s="327"/>
      <c r="BK88" s="552"/>
      <c r="BL88" s="327"/>
      <c r="BM88" s="327"/>
      <c r="BN88" s="327"/>
      <c r="BO88" s="327"/>
      <c r="BP88" s="552"/>
      <c r="BQ88" s="327"/>
      <c r="BR88" s="327"/>
      <c r="BS88" s="327"/>
      <c r="BT88" s="327"/>
      <c r="BU88" s="552"/>
      <c r="BV88" s="327"/>
      <c r="BW88" s="327"/>
      <c r="BX88" s="327"/>
      <c r="BY88" s="327"/>
      <c r="BZ88" s="552"/>
      <c r="CA88" s="327"/>
      <c r="CB88" s="327"/>
      <c r="CC88" s="327"/>
      <c r="CD88" s="327"/>
      <c r="CE88" s="552"/>
    </row>
    <row r="89" spans="1:83" s="121" customFormat="1" ht="12.75" collapsed="1">
      <c r="B89" s="273" t="s">
        <v>268</v>
      </c>
      <c r="C89" s="275"/>
      <c r="D89" s="280">
        <f>+D113</f>
        <v>676</v>
      </c>
      <c r="E89" s="280">
        <f t="shared" ref="E89:AL89" si="369">+E113</f>
        <v>880</v>
      </c>
      <c r="F89" s="280">
        <f t="shared" si="369"/>
        <v>1027</v>
      </c>
      <c r="G89" s="280">
        <f t="shared" si="369"/>
        <v>869</v>
      </c>
      <c r="H89" s="280">
        <f t="shared" si="369"/>
        <v>3452</v>
      </c>
      <c r="I89" s="280">
        <f t="shared" si="369"/>
        <v>949</v>
      </c>
      <c r="J89" s="280">
        <f t="shared" si="369"/>
        <v>1238</v>
      </c>
      <c r="K89" s="280">
        <f t="shared" si="369"/>
        <v>1621</v>
      </c>
      <c r="L89" s="280">
        <f t="shared" si="369"/>
        <v>1698</v>
      </c>
      <c r="M89" s="280">
        <f t="shared" si="369"/>
        <v>5506</v>
      </c>
      <c r="N89" s="280">
        <f t="shared" si="369"/>
        <v>2126</v>
      </c>
      <c r="O89" s="280">
        <f t="shared" si="369"/>
        <v>2480</v>
      </c>
      <c r="P89" s="280">
        <f t="shared" si="369"/>
        <v>2494</v>
      </c>
      <c r="Q89" s="280">
        <f t="shared" si="369"/>
        <v>3449</v>
      </c>
      <c r="R89" s="530">
        <f t="shared" si="369"/>
        <v>10549</v>
      </c>
      <c r="S89" s="280">
        <f t="shared" si="369"/>
        <v>3875</v>
      </c>
      <c r="T89" s="280">
        <f t="shared" si="369"/>
        <v>4382</v>
      </c>
      <c r="U89" s="280">
        <f t="shared" si="369"/>
        <v>4421</v>
      </c>
      <c r="V89" s="280">
        <f t="shared" si="369"/>
        <v>4816</v>
      </c>
      <c r="W89" s="530">
        <f t="shared" si="369"/>
        <v>17494</v>
      </c>
      <c r="X89" s="280">
        <f t="shared" si="369"/>
        <v>4697</v>
      </c>
      <c r="Y89" s="280">
        <f t="shared" si="369"/>
        <v>5322</v>
      </c>
      <c r="Z89" s="280">
        <f t="shared" si="369"/>
        <v>5103</v>
      </c>
      <c r="AA89" s="280">
        <f t="shared" si="369"/>
        <v>5027</v>
      </c>
      <c r="AB89" s="530">
        <f t="shared" si="369"/>
        <v>20149</v>
      </c>
      <c r="AC89" s="280">
        <f t="shared" si="369"/>
        <v>4332</v>
      </c>
      <c r="AD89" s="280">
        <f t="shared" si="369"/>
        <v>6447</v>
      </c>
      <c r="AE89" s="280">
        <f t="shared" si="369"/>
        <v>7743</v>
      </c>
      <c r="AF89" s="280">
        <f t="shared" si="369"/>
        <v>8439</v>
      </c>
      <c r="AG89" s="530">
        <f t="shared" si="369"/>
        <v>26961</v>
      </c>
      <c r="AH89" s="280">
        <f t="shared" si="369"/>
        <v>8891</v>
      </c>
      <c r="AI89" s="280">
        <f t="shared" si="369"/>
        <v>7023</v>
      </c>
      <c r="AJ89" s="280">
        <f t="shared" si="369"/>
        <v>6758</v>
      </c>
      <c r="AK89" s="280">
        <f t="shared" si="369"/>
        <v>7418</v>
      </c>
      <c r="AL89" s="530">
        <f t="shared" si="369"/>
        <v>30090</v>
      </c>
      <c r="AM89" s="280">
        <f t="shared" ref="AM89:AQ89" si="370">+AM113</f>
        <v>8445</v>
      </c>
      <c r="AN89" s="280">
        <f t="shared" si="370"/>
        <v>8335</v>
      </c>
      <c r="AO89" s="280">
        <f t="shared" si="370"/>
        <v>8383</v>
      </c>
      <c r="AP89" s="280">
        <f t="shared" si="370"/>
        <v>9729</v>
      </c>
      <c r="AQ89" s="530">
        <f t="shared" si="370"/>
        <v>34892</v>
      </c>
      <c r="AR89" s="280">
        <f t="shared" ref="AR89:AV89" si="371">+AR113</f>
        <v>9997</v>
      </c>
      <c r="AS89" s="280">
        <f t="shared" si="371"/>
        <v>9444</v>
      </c>
      <c r="AT89" s="280">
        <f t="shared" si="371"/>
        <v>10489</v>
      </c>
      <c r="AU89" s="280">
        <f t="shared" ref="AU89" si="372">+AU113</f>
        <v>10104</v>
      </c>
      <c r="AV89" s="530">
        <f t="shared" si="371"/>
        <v>40034</v>
      </c>
      <c r="AW89" s="280">
        <f t="shared" ref="AW89:BA89" si="373">+AW113</f>
        <v>38202</v>
      </c>
      <c r="AX89" s="280">
        <f t="shared" si="373"/>
        <v>8553</v>
      </c>
      <c r="AY89" s="280">
        <f t="shared" ref="AY89" si="374">+AY113</f>
        <v>9463</v>
      </c>
      <c r="AZ89" s="280">
        <f t="shared" si="373"/>
        <v>11361</v>
      </c>
      <c r="BA89" s="530">
        <f t="shared" si="373"/>
        <v>67579</v>
      </c>
      <c r="BB89" s="280">
        <f t="shared" ref="BB89:BF89" si="375">+BB113</f>
        <v>11745</v>
      </c>
      <c r="BC89" s="280">
        <f>12820</f>
        <v>12820</v>
      </c>
      <c r="BD89" s="280">
        <f t="shared" si="375"/>
        <v>13291</v>
      </c>
      <c r="BE89" s="280">
        <f t="shared" si="375"/>
        <v>15552</v>
      </c>
      <c r="BF89" s="530">
        <f t="shared" si="375"/>
        <v>53408</v>
      </c>
      <c r="BG89" s="280">
        <f t="shared" ref="BG89:BK89" si="376">+BG113</f>
        <v>16033</v>
      </c>
      <c r="BH89" s="280">
        <f t="shared" si="376"/>
        <v>16005</v>
      </c>
      <c r="BI89" s="280">
        <f t="shared" si="376"/>
        <v>18522</v>
      </c>
      <c r="BJ89" s="280">
        <f t="shared" si="376"/>
        <v>18519</v>
      </c>
      <c r="BK89" s="530">
        <f t="shared" si="376"/>
        <v>69079</v>
      </c>
      <c r="BL89" s="280">
        <f t="shared" ref="BL89:BP89" si="377">+BL113</f>
        <v>19031</v>
      </c>
      <c r="BM89" s="280">
        <f t="shared" si="377"/>
        <v>17086</v>
      </c>
      <c r="BN89" s="280">
        <f t="shared" si="377"/>
        <v>20337</v>
      </c>
      <c r="BO89" s="280">
        <f t="shared" si="377"/>
        <v>20679</v>
      </c>
      <c r="BP89" s="530">
        <f t="shared" si="377"/>
        <v>77133</v>
      </c>
      <c r="BQ89" s="280">
        <f t="shared" ref="BQ89:BU89" si="378">+BQ113</f>
        <v>18820</v>
      </c>
      <c r="BR89" s="280">
        <f t="shared" si="378"/>
        <v>18046</v>
      </c>
      <c r="BS89" s="280">
        <f t="shared" si="378"/>
        <v>19447</v>
      </c>
      <c r="BT89" s="280">
        <f t="shared" si="378"/>
        <v>20653</v>
      </c>
      <c r="BU89" s="530">
        <f t="shared" si="378"/>
        <v>76966</v>
      </c>
      <c r="BV89" s="280">
        <f t="shared" ref="BV89:BZ89" si="379">+BV113</f>
        <v>19083.945650000001</v>
      </c>
      <c r="BW89" s="280">
        <f t="shared" si="379"/>
        <v>19490.565600000002</v>
      </c>
      <c r="BX89" s="280">
        <f t="shared" si="379"/>
        <v>19175.43075</v>
      </c>
      <c r="BY89" s="280">
        <f t="shared" si="379"/>
        <v>18755.174000000003</v>
      </c>
      <c r="BZ89" s="530">
        <f t="shared" si="379"/>
        <v>76505.116000000009</v>
      </c>
      <c r="CA89" s="280">
        <f t="shared" ref="CA89:CE89" si="380">+CA113</f>
        <v>18736.964820000005</v>
      </c>
      <c r="CB89" s="280">
        <f t="shared" si="380"/>
        <v>18959.004720000004</v>
      </c>
      <c r="CC89" s="280">
        <f t="shared" si="380"/>
        <v>19358.053899999999</v>
      </c>
      <c r="CD89" s="280">
        <f t="shared" si="380"/>
        <v>18886.460218000004</v>
      </c>
      <c r="CE89" s="530">
        <f t="shared" si="380"/>
        <v>75940.483658000012</v>
      </c>
    </row>
    <row r="90" spans="1:83" s="121" customFormat="1" ht="12.75">
      <c r="B90" s="273" t="s">
        <v>303</v>
      </c>
      <c r="C90" s="275"/>
      <c r="D90" s="280">
        <f>+-SUM(IS!D46:D47)</f>
        <v>12</v>
      </c>
      <c r="E90" s="280">
        <f>+-SUM(IS!E46:E47)</f>
        <v>91</v>
      </c>
      <c r="F90" s="280">
        <f>+-SUM(IS!F46:F47)</f>
        <v>-61</v>
      </c>
      <c r="G90" s="280">
        <f>+-SUM(IS!G46:G47)</f>
        <v>132</v>
      </c>
      <c r="H90" s="280">
        <f>+-SUM(IS!H46:H47)</f>
        <v>174</v>
      </c>
      <c r="I90" s="280">
        <f>+-SUM(IS!I46:I47)</f>
        <v>242</v>
      </c>
      <c r="J90" s="280">
        <f>+-SUM(IS!J46:J47)</f>
        <v>-114</v>
      </c>
      <c r="K90" s="280">
        <f>+-SUM(IS!K46:K47)</f>
        <v>-31</v>
      </c>
      <c r="L90" s="280">
        <f>+-SUM(IS!L46:L47)</f>
        <v>45</v>
      </c>
      <c r="M90" s="280">
        <f>+-SUM(IS!M46:M47)</f>
        <v>142</v>
      </c>
      <c r="N90" s="280">
        <f>+-SUM(IS!N46:N47)</f>
        <v>-7</v>
      </c>
      <c r="O90" s="280">
        <f>+-SUM(IS!O46:O47)</f>
        <v>-93</v>
      </c>
      <c r="P90" s="280">
        <f>+-SUM(IS!P46:P47)</f>
        <v>14</v>
      </c>
      <c r="Q90" s="280">
        <f>+-SUM(IS!Q46:Q47)</f>
        <v>655</v>
      </c>
      <c r="R90" s="530">
        <f>+-SUM(IS!R46:R47)</f>
        <v>569</v>
      </c>
      <c r="S90" s="280">
        <f>+-SUM(IS!S46:S47)</f>
        <v>178</v>
      </c>
      <c r="T90" s="280">
        <f>+-SUM(IS!T46:T47)</f>
        <v>-132</v>
      </c>
      <c r="U90" s="280">
        <f>+-SUM(IS!U46:U47)</f>
        <v>307</v>
      </c>
      <c r="V90" s="280">
        <f>+-SUM(IS!V46:V47)</f>
        <v>181</v>
      </c>
      <c r="W90" s="530">
        <f>+-SUM(IS!W46:W47)</f>
        <v>534</v>
      </c>
      <c r="X90" s="280">
        <f>+-SUM(IS!X46:X47)</f>
        <v>-181</v>
      </c>
      <c r="Y90" s="280">
        <f>+-SUM(IS!Y46:Y47)</f>
        <v>-41</v>
      </c>
      <c r="Z90" s="280">
        <f>+-SUM(IS!Z46:Z47)</f>
        <v>-239</v>
      </c>
      <c r="AA90" s="280">
        <f>+-SUM(IS!AA46:AA47)</f>
        <v>113</v>
      </c>
      <c r="AB90" s="530">
        <f>+-SUM(IS!AB46:AB47)</f>
        <v>-348</v>
      </c>
      <c r="AC90" s="280">
        <f>+-SUM(IS!AC46:AC47)</f>
        <v>-455</v>
      </c>
      <c r="AD90" s="280">
        <f>+-SUM(IS!AD46:AD47)</f>
        <v>-361</v>
      </c>
      <c r="AE90" s="280">
        <f>+-SUM(IS!AE46:AE47)</f>
        <v>-671</v>
      </c>
      <c r="AF90" s="280">
        <f>+-SUM(IS!AF46:AF47)</f>
        <v>-652</v>
      </c>
      <c r="AG90" s="530">
        <f>+-SUM(IS!AG46:AG47)</f>
        <v>-2139</v>
      </c>
      <c r="AH90" s="280">
        <f>+-SUM(IS!AH46:AH47)</f>
        <v>-1283</v>
      </c>
      <c r="AI90" s="280">
        <f>+-SUM(IS!AI46:AI47)</f>
        <v>-923</v>
      </c>
      <c r="AJ90" s="280">
        <f>+-SUM(IS!AJ46:AJ47)</f>
        <v>-1151</v>
      </c>
      <c r="AK90" s="280">
        <f>+-SUM(IS!AK46:AK47)</f>
        <v>-1922</v>
      </c>
      <c r="AL90" s="530">
        <f>+-SUM(IS!AL46:AL47)</f>
        <v>-5279</v>
      </c>
      <c r="AM90" s="280">
        <f>+-SUM(IS!AM46:AM47)</f>
        <v>-1828</v>
      </c>
      <c r="AN90" s="280">
        <f>+-SUM(IS!AN46:AN47)</f>
        <v>-2429</v>
      </c>
      <c r="AO90" s="280">
        <f>+-SUM(IS!AO46:AO47)</f>
        <v>-1814</v>
      </c>
      <c r="AP90" s="280">
        <f>+-SUM(IS!AP46:AP47)</f>
        <v>-1765</v>
      </c>
      <c r="AQ90" s="530">
        <f>+-SUM(IS!AQ46:AQ47)</f>
        <v>-7836</v>
      </c>
      <c r="AR90" s="280">
        <f>+-SUM(IS!AR46:AR47)</f>
        <v>-1789</v>
      </c>
      <c r="AS90" s="280">
        <f>+-SUM(IS!AS46:AS47)</f>
        <v>-1586</v>
      </c>
      <c r="AT90" s="280">
        <f>+-SUM(IS!AT46:AT47)</f>
        <v>-1332</v>
      </c>
      <c r="AU90" s="280">
        <f>+-SUM(IS!AU46:AU47)</f>
        <v>-685</v>
      </c>
      <c r="AV90" s="530">
        <f>+-SUM(IS!AV46:AV47)</f>
        <v>-5392</v>
      </c>
      <c r="AW90" s="280">
        <f>+-SUM(IS!AW46:AW47)</f>
        <v>-502</v>
      </c>
      <c r="AX90" s="280">
        <f>+-SUM(IS!AX46:AX47)</f>
        <v>-487</v>
      </c>
      <c r="AY90" s="280">
        <f>+-SUM(IS!AY46:AY47)</f>
        <v>-74</v>
      </c>
      <c r="AZ90" s="280">
        <f>+-SUM(IS!AZ46:AZ47)</f>
        <v>-651</v>
      </c>
      <c r="BA90" s="530">
        <f>+-SUM(IS!BA46:BA47)</f>
        <v>-1714</v>
      </c>
      <c r="BB90" s="280">
        <f>+-SUM(IS!BB46:BB47)</f>
        <v>192</v>
      </c>
      <c r="BC90" s="280">
        <f>+-SUM(IS!BC46:BC47)</f>
        <v>871</v>
      </c>
      <c r="BD90" s="280">
        <f>+-SUM(IS!BD46:BD47)</f>
        <v>-492</v>
      </c>
      <c r="BE90" s="280">
        <f>+-SUM(IS!BE46:BE47)</f>
        <v>-3724</v>
      </c>
      <c r="BF90" s="530">
        <f>+-SUM(IS!BF46:BF47)</f>
        <v>-3153</v>
      </c>
      <c r="BG90" s="280">
        <f>+-SUM(IS!BG46:BG47)</f>
        <v>-2181</v>
      </c>
      <c r="BH90" s="280">
        <f>+-SUM(IS!BH46:BH47)</f>
        <v>-2850</v>
      </c>
      <c r="BI90" s="280">
        <f>+-SUM(IS!BI46:BI47)</f>
        <v>-4428</v>
      </c>
      <c r="BJ90" s="280">
        <f>+-SUM(IS!BJ46:BJ47)</f>
        <v>-6123</v>
      </c>
      <c r="BK90" s="530">
        <f>+-SUM(IS!BK46:BK47)</f>
        <v>-15582</v>
      </c>
      <c r="BL90" s="280">
        <f>+-SUM(IS!BL46:BL47)</f>
        <v>-4724</v>
      </c>
      <c r="BM90" s="280">
        <f>+-SUM(IS!BM46:BM47)</f>
        <v>-6116</v>
      </c>
      <c r="BN90" s="280">
        <f>+-SUM(IS!BN46:BN47)</f>
        <v>-7369</v>
      </c>
      <c r="BO90" s="280">
        <f>+-SUM(IS!BO46:BO47)</f>
        <v>-4417</v>
      </c>
      <c r="BP90" s="530">
        <f>+-SUM(IS!BP46:BP47)</f>
        <v>-22626</v>
      </c>
      <c r="BQ90" s="280">
        <f>+-SUM(IS!BQ46:BQ47)</f>
        <v>-6552</v>
      </c>
      <c r="BR90" s="280">
        <f>+-SUM(IS!BR46:BR47)</f>
        <v>-7406</v>
      </c>
      <c r="BS90" s="280">
        <f>+-SUM(IS!BS46:BS47)</f>
        <v>-5327</v>
      </c>
      <c r="BT90" s="280">
        <f>+-SUM(IS!BT46:BT47)</f>
        <v>-5591</v>
      </c>
      <c r="BU90" s="530">
        <f>+-SUM(IS!BU46:BU47)</f>
        <v>-24876</v>
      </c>
      <c r="BV90" s="280">
        <f>+-SUM(IS!BV46:BV47)</f>
        <v>-5491</v>
      </c>
      <c r="BW90" s="280">
        <f>+-SUM(IS!BW46:BW47)</f>
        <v>-5391</v>
      </c>
      <c r="BX90" s="280">
        <f>+-SUM(IS!BX46:BX47)</f>
        <v>-5291</v>
      </c>
      <c r="BY90" s="280">
        <f>+-SUM(IS!BY46:BY47)</f>
        <v>-5191</v>
      </c>
      <c r="BZ90" s="530">
        <f>+-SUM(IS!BZ46:BZ47)</f>
        <v>-21364</v>
      </c>
      <c r="CA90" s="280">
        <f>+-SUM(IS!CA46:CA47)</f>
        <v>-5191</v>
      </c>
      <c r="CB90" s="280">
        <f>+-SUM(IS!CB46:CB47)</f>
        <v>-5191</v>
      </c>
      <c r="CC90" s="280">
        <f>+-SUM(IS!CC46:CC47)</f>
        <v>-5191</v>
      </c>
      <c r="CD90" s="280">
        <f>+-SUM(IS!CD46:CD47)</f>
        <v>-5191</v>
      </c>
      <c r="CE90" s="530">
        <f>+-SUM(IS!CE46:CE47)</f>
        <v>-20764</v>
      </c>
    </row>
    <row r="91" spans="1:83" s="121" customFormat="1" ht="12.75">
      <c r="A91" s="121" t="s">
        <v>217</v>
      </c>
      <c r="B91" s="273" t="s">
        <v>304</v>
      </c>
      <c r="C91" s="275"/>
      <c r="D91" s="280"/>
      <c r="E91" s="280"/>
      <c r="F91" s="280"/>
      <c r="G91" s="280"/>
      <c r="H91" s="280">
        <f>+SUM(D91:G91)</f>
        <v>0</v>
      </c>
      <c r="I91" s="280"/>
      <c r="J91" s="280"/>
      <c r="K91" s="280"/>
      <c r="L91" s="280"/>
      <c r="M91" s="280">
        <f>+SUM(I91:L91)</f>
        <v>0</v>
      </c>
      <c r="N91" s="279">
        <v>0</v>
      </c>
      <c r="O91" s="279">
        <v>0</v>
      </c>
      <c r="P91" s="279">
        <v>0</v>
      </c>
      <c r="Q91" s="279">
        <v>0</v>
      </c>
      <c r="R91" s="530">
        <f>+SUM(N91:Q91)</f>
        <v>0</v>
      </c>
      <c r="S91" s="279">
        <v>0</v>
      </c>
      <c r="T91" s="279">
        <v>0</v>
      </c>
      <c r="U91" s="279">
        <v>0</v>
      </c>
      <c r="V91" s="279">
        <v>0</v>
      </c>
      <c r="W91" s="530">
        <f>+SUM(S91:V91)</f>
        <v>0</v>
      </c>
      <c r="X91" s="279">
        <v>0</v>
      </c>
      <c r="Y91" s="279">
        <v>0</v>
      </c>
      <c r="Z91" s="279">
        <v>0</v>
      </c>
      <c r="AA91" s="279">
        <v>0</v>
      </c>
      <c r="AB91" s="530">
        <f>+SUM(X91:AA91)</f>
        <v>0</v>
      </c>
      <c r="AC91" s="279">
        <v>0</v>
      </c>
      <c r="AD91" s="279">
        <v>0</v>
      </c>
      <c r="AE91" s="279">
        <v>0</v>
      </c>
      <c r="AF91" s="279">
        <v>93</v>
      </c>
      <c r="AG91" s="530">
        <f>+SUM(AC91:AF91)</f>
        <v>93</v>
      </c>
      <c r="AH91" s="279">
        <v>278</v>
      </c>
      <c r="AI91" s="279">
        <v>1610</v>
      </c>
      <c r="AJ91" s="279">
        <v>38</v>
      </c>
      <c r="AK91" s="279">
        <v>1099</v>
      </c>
      <c r="AL91" s="530">
        <f>+SUM(AH91:AK91)</f>
        <v>3025</v>
      </c>
      <c r="AM91" s="279">
        <v>194</v>
      </c>
      <c r="AN91" s="279">
        <v>1059</v>
      </c>
      <c r="AO91" s="279">
        <f>0</f>
        <v>0</v>
      </c>
      <c r="AP91" s="279">
        <v>585</v>
      </c>
      <c r="AQ91" s="530">
        <f>+SUM(AM91:AP91)</f>
        <v>1838</v>
      </c>
      <c r="AR91" s="280">
        <f>0</f>
        <v>0</v>
      </c>
      <c r="AS91" s="280">
        <v>0</v>
      </c>
      <c r="AT91" s="280">
        <v>0</v>
      </c>
      <c r="AU91" s="280">
        <v>0</v>
      </c>
      <c r="AV91" s="530">
        <f>+SUM(AR91:AU91)</f>
        <v>0</v>
      </c>
      <c r="AW91" s="280">
        <f t="shared" ref="AW91:AY92" si="381">+AU91</f>
        <v>0</v>
      </c>
      <c r="AX91" s="280">
        <f t="shared" si="381"/>
        <v>0</v>
      </c>
      <c r="AY91" s="280">
        <f t="shared" si="381"/>
        <v>0</v>
      </c>
      <c r="AZ91" s="280">
        <v>0</v>
      </c>
      <c r="BA91" s="530">
        <f>+SUM(AW91:AZ91)</f>
        <v>0</v>
      </c>
      <c r="BB91" s="280">
        <f>+AZ91</f>
        <v>0</v>
      </c>
      <c r="BC91" s="280">
        <f>+BB91</f>
        <v>0</v>
      </c>
      <c r="BD91" s="280">
        <f t="shared" ref="BD91" si="382">+BC91</f>
        <v>0</v>
      </c>
      <c r="BE91" s="280">
        <f t="shared" ref="BE91" si="383">+BD91</f>
        <v>0</v>
      </c>
      <c r="BF91" s="530">
        <f>+SUM(BB91:BE91)</f>
        <v>0</v>
      </c>
      <c r="BG91" s="280">
        <f>+BE91</f>
        <v>0</v>
      </c>
      <c r="BH91" s="280">
        <f>+BG91</f>
        <v>0</v>
      </c>
      <c r="BI91" s="280">
        <f t="shared" ref="BI91" si="384">+BH91</f>
        <v>0</v>
      </c>
      <c r="BJ91" s="280">
        <f t="shared" ref="BJ91" si="385">+BI91</f>
        <v>0</v>
      </c>
      <c r="BK91" s="530">
        <f>+SUM(BG91:BJ91)</f>
        <v>0</v>
      </c>
      <c r="BL91" s="280">
        <f>+BJ91</f>
        <v>0</v>
      </c>
      <c r="BM91" s="280">
        <f>+BL91</f>
        <v>0</v>
      </c>
      <c r="BN91" s="280">
        <f t="shared" ref="BN91" si="386">+BM91</f>
        <v>0</v>
      </c>
      <c r="BO91" s="280">
        <f t="shared" ref="BO91" si="387">+BN91</f>
        <v>0</v>
      </c>
      <c r="BP91" s="530">
        <f>+SUM(BL91:BO91)</f>
        <v>0</v>
      </c>
      <c r="BQ91" s="280">
        <f>+BO91</f>
        <v>0</v>
      </c>
      <c r="BR91" s="280">
        <f>+BQ91</f>
        <v>0</v>
      </c>
      <c r="BS91" s="280">
        <f t="shared" ref="BS91" si="388">+BR91</f>
        <v>0</v>
      </c>
      <c r="BT91" s="280">
        <f t="shared" ref="BT91" si="389">+BS91</f>
        <v>0</v>
      </c>
      <c r="BU91" s="530">
        <f>+SUM(BQ91:BT91)</f>
        <v>0</v>
      </c>
      <c r="BV91" s="280">
        <f>+BT91</f>
        <v>0</v>
      </c>
      <c r="BW91" s="280">
        <f>+BV91</f>
        <v>0</v>
      </c>
      <c r="BX91" s="280">
        <f t="shared" ref="BX91" si="390">+BW91</f>
        <v>0</v>
      </c>
      <c r="BY91" s="280">
        <f t="shared" ref="BY91" si="391">+BX91</f>
        <v>0</v>
      </c>
      <c r="BZ91" s="530">
        <f>+SUM(BV91:BY91)</f>
        <v>0</v>
      </c>
      <c r="CA91" s="280">
        <f>+BY91</f>
        <v>0</v>
      </c>
      <c r="CB91" s="280">
        <f>+CA91</f>
        <v>0</v>
      </c>
      <c r="CC91" s="280">
        <f t="shared" ref="CC91" si="392">+CB91</f>
        <v>0</v>
      </c>
      <c r="CD91" s="280">
        <f t="shared" ref="CD91" si="393">+CC91</f>
        <v>0</v>
      </c>
      <c r="CE91" s="530">
        <f>+SUM(CA91:CD91)</f>
        <v>0</v>
      </c>
    </row>
    <row r="92" spans="1:83" s="121" customFormat="1" ht="12.75">
      <c r="A92" s="121" t="s">
        <v>217</v>
      </c>
      <c r="B92" s="273" t="s">
        <v>305</v>
      </c>
      <c r="C92" s="275"/>
      <c r="D92" s="279">
        <v>0</v>
      </c>
      <c r="E92" s="279">
        <v>0</v>
      </c>
      <c r="F92" s="279">
        <v>0</v>
      </c>
      <c r="G92" s="280">
        <f t="shared" si="316"/>
        <v>0</v>
      </c>
      <c r="H92" s="279">
        <v>0</v>
      </c>
      <c r="I92" s="279">
        <v>0</v>
      </c>
      <c r="J92" s="279">
        <v>0</v>
      </c>
      <c r="K92" s="279">
        <v>0</v>
      </c>
      <c r="L92" s="280">
        <f t="shared" si="317"/>
        <v>0</v>
      </c>
      <c r="M92" s="279">
        <v>0</v>
      </c>
      <c r="N92" s="279">
        <v>0</v>
      </c>
      <c r="O92" s="279">
        <v>0</v>
      </c>
      <c r="P92" s="279">
        <v>0</v>
      </c>
      <c r="Q92" s="280">
        <f t="shared" si="318"/>
        <v>0</v>
      </c>
      <c r="R92" s="558">
        <v>0</v>
      </c>
      <c r="S92" s="279">
        <v>0</v>
      </c>
      <c r="T92" s="279">
        <v>0</v>
      </c>
      <c r="U92" s="279">
        <v>0</v>
      </c>
      <c r="V92" s="279">
        <v>0</v>
      </c>
      <c r="W92" s="530">
        <f t="shared" si="319"/>
        <v>0</v>
      </c>
      <c r="X92" s="279">
        <v>0</v>
      </c>
      <c r="Y92" s="279">
        <v>716</v>
      </c>
      <c r="Z92" s="279">
        <v>0</v>
      </c>
      <c r="AA92" s="279">
        <v>0</v>
      </c>
      <c r="AB92" s="530">
        <f t="shared" si="320"/>
        <v>716</v>
      </c>
      <c r="AC92" s="279">
        <v>0</v>
      </c>
      <c r="AD92" s="279">
        <v>0</v>
      </c>
      <c r="AE92" s="279">
        <v>0</v>
      </c>
      <c r="AF92" s="279">
        <v>0</v>
      </c>
      <c r="AG92" s="530">
        <f t="shared" ref="AG92" si="394">+SUM(AC92:AF92)</f>
        <v>0</v>
      </c>
      <c r="AH92" s="279">
        <v>0</v>
      </c>
      <c r="AI92" s="279">
        <v>0</v>
      </c>
      <c r="AJ92" s="279">
        <v>0</v>
      </c>
      <c r="AK92" s="279">
        <v>0</v>
      </c>
      <c r="AL92" s="530">
        <f t="shared" ref="AL92" si="395">+SUM(AH92:AK92)</f>
        <v>0</v>
      </c>
      <c r="AM92" s="279">
        <v>0</v>
      </c>
      <c r="AN92" s="279">
        <v>0</v>
      </c>
      <c r="AO92" s="279">
        <v>0</v>
      </c>
      <c r="AP92" s="279">
        <v>0</v>
      </c>
      <c r="AQ92" s="530">
        <f t="shared" ref="AQ92" si="396">+SUM(AM92:AP92)</f>
        <v>0</v>
      </c>
      <c r="AR92" s="280">
        <v>0</v>
      </c>
      <c r="AS92" s="280">
        <v>0</v>
      </c>
      <c r="AT92" s="280">
        <v>0</v>
      </c>
      <c r="AU92" s="280">
        <v>0</v>
      </c>
      <c r="AV92" s="530">
        <f t="shared" ref="AV92" si="397">+SUM(AR92:AU92)</f>
        <v>0</v>
      </c>
      <c r="AW92" s="280">
        <f t="shared" si="381"/>
        <v>0</v>
      </c>
      <c r="AX92" s="280">
        <f t="shared" si="381"/>
        <v>0</v>
      </c>
      <c r="AY92" s="280">
        <f t="shared" si="381"/>
        <v>0</v>
      </c>
      <c r="AZ92" s="280">
        <v>0</v>
      </c>
      <c r="BA92" s="530">
        <f t="shared" ref="BA92" si="398">+SUM(AW92:AZ92)</f>
        <v>0</v>
      </c>
      <c r="BB92" s="280">
        <f>+AZ92</f>
        <v>0</v>
      </c>
      <c r="BC92" s="280">
        <f>+BB92</f>
        <v>0</v>
      </c>
      <c r="BD92" s="280">
        <f>+BC92</f>
        <v>0</v>
      </c>
      <c r="BE92" s="280">
        <f>+BD92</f>
        <v>0</v>
      </c>
      <c r="BF92" s="530">
        <f t="shared" ref="BF92" si="399">+SUM(BB92:BE92)</f>
        <v>0</v>
      </c>
      <c r="BG92" s="280">
        <f>+BE92</f>
        <v>0</v>
      </c>
      <c r="BH92" s="280">
        <f>+BG92</f>
        <v>0</v>
      </c>
      <c r="BI92" s="280">
        <f>+BH92</f>
        <v>0</v>
      </c>
      <c r="BJ92" s="280">
        <f>+BI92</f>
        <v>0</v>
      </c>
      <c r="BK92" s="530">
        <f t="shared" ref="BK92" si="400">+SUM(BG92:BJ92)</f>
        <v>0</v>
      </c>
      <c r="BL92" s="280">
        <f>+BJ92</f>
        <v>0</v>
      </c>
      <c r="BM92" s="280">
        <f>+BL92</f>
        <v>0</v>
      </c>
      <c r="BN92" s="280">
        <f>+BM92</f>
        <v>0</v>
      </c>
      <c r="BO92" s="280">
        <f>+BN92</f>
        <v>0</v>
      </c>
      <c r="BP92" s="530">
        <f t="shared" ref="BP92" si="401">+SUM(BL92:BO92)</f>
        <v>0</v>
      </c>
      <c r="BQ92" s="280">
        <f>+BO92</f>
        <v>0</v>
      </c>
      <c r="BR92" s="280">
        <f>+BQ92</f>
        <v>0</v>
      </c>
      <c r="BS92" s="280">
        <f>+BR92</f>
        <v>0</v>
      </c>
      <c r="BT92" s="280">
        <f>+BS92</f>
        <v>0</v>
      </c>
      <c r="BU92" s="530">
        <f t="shared" ref="BU92" si="402">+SUM(BQ92:BT92)</f>
        <v>0</v>
      </c>
      <c r="BV92" s="280">
        <f>+BT92</f>
        <v>0</v>
      </c>
      <c r="BW92" s="280">
        <f>+BV92</f>
        <v>0</v>
      </c>
      <c r="BX92" s="280">
        <f>+BW92</f>
        <v>0</v>
      </c>
      <c r="BY92" s="280">
        <f>+BX92</f>
        <v>0</v>
      </c>
      <c r="BZ92" s="530">
        <f t="shared" ref="BZ92" si="403">+SUM(BV92:BY92)</f>
        <v>0</v>
      </c>
      <c r="CA92" s="280">
        <f>+BY92</f>
        <v>0</v>
      </c>
      <c r="CB92" s="280">
        <f>+CA92</f>
        <v>0</v>
      </c>
      <c r="CC92" s="280">
        <f>+CB92</f>
        <v>0</v>
      </c>
      <c r="CD92" s="280">
        <f>+CC92</f>
        <v>0</v>
      </c>
      <c r="CE92" s="530">
        <f t="shared" ref="CE92" si="404">+SUM(CA92:CD92)</f>
        <v>0</v>
      </c>
    </row>
    <row r="93" spans="1:83" s="121" customFormat="1" ht="3.75" customHeight="1">
      <c r="B93" s="273"/>
      <c r="C93" s="275"/>
      <c r="D93" s="281" t="s">
        <v>0</v>
      </c>
      <c r="E93" s="281" t="s">
        <v>0</v>
      </c>
      <c r="F93" s="281" t="s">
        <v>0</v>
      </c>
      <c r="G93" s="281" t="s">
        <v>0</v>
      </c>
      <c r="H93" s="276" t="s">
        <v>0</v>
      </c>
      <c r="I93" s="281" t="s">
        <v>0</v>
      </c>
      <c r="J93" s="281" t="s">
        <v>0</v>
      </c>
      <c r="K93" s="281" t="s">
        <v>0</v>
      </c>
      <c r="L93" s="281" t="s">
        <v>0</v>
      </c>
      <c r="M93" s="281" t="s">
        <v>0</v>
      </c>
      <c r="N93" s="281" t="s">
        <v>0</v>
      </c>
      <c r="O93" s="281" t="s">
        <v>0</v>
      </c>
      <c r="P93" s="281" t="s">
        <v>0</v>
      </c>
      <c r="Q93" s="281" t="s">
        <v>0</v>
      </c>
      <c r="R93" s="553" t="s">
        <v>0</v>
      </c>
      <c r="S93" s="281" t="s">
        <v>0</v>
      </c>
      <c r="T93" s="281" t="s">
        <v>0</v>
      </c>
      <c r="U93" s="281" t="s">
        <v>0</v>
      </c>
      <c r="V93" s="281" t="s">
        <v>0</v>
      </c>
      <c r="W93" s="553" t="s">
        <v>0</v>
      </c>
      <c r="X93" s="281" t="s">
        <v>0</v>
      </c>
      <c r="Y93" s="281" t="s">
        <v>0</v>
      </c>
      <c r="Z93" s="281" t="s">
        <v>0</v>
      </c>
      <c r="AA93" s="281" t="s">
        <v>0</v>
      </c>
      <c r="AB93" s="553" t="s">
        <v>0</v>
      </c>
      <c r="AC93" s="281" t="s">
        <v>0</v>
      </c>
      <c r="AD93" s="281" t="s">
        <v>0</v>
      </c>
      <c r="AE93" s="281" t="s">
        <v>0</v>
      </c>
      <c r="AF93" s="281" t="s">
        <v>0</v>
      </c>
      <c r="AG93" s="553" t="s">
        <v>0</v>
      </c>
      <c r="AH93" s="281" t="s">
        <v>0</v>
      </c>
      <c r="AI93" s="281" t="s">
        <v>0</v>
      </c>
      <c r="AJ93" s="281" t="s">
        <v>0</v>
      </c>
      <c r="AK93" s="281" t="s">
        <v>0</v>
      </c>
      <c r="AL93" s="553" t="s">
        <v>0</v>
      </c>
      <c r="AM93" s="281" t="s">
        <v>0</v>
      </c>
      <c r="AN93" s="281" t="s">
        <v>0</v>
      </c>
      <c r="AO93" s="281" t="s">
        <v>0</v>
      </c>
      <c r="AP93" s="281" t="s">
        <v>0</v>
      </c>
      <c r="AQ93" s="553" t="s">
        <v>0</v>
      </c>
      <c r="AR93" s="281" t="s">
        <v>0</v>
      </c>
      <c r="AS93" s="281" t="s">
        <v>0</v>
      </c>
      <c r="AT93" s="281" t="s">
        <v>0</v>
      </c>
      <c r="AU93" s="281" t="s">
        <v>0</v>
      </c>
      <c r="AV93" s="553" t="s">
        <v>0</v>
      </c>
      <c r="AW93" s="281" t="s">
        <v>0</v>
      </c>
      <c r="AX93" s="281" t="s">
        <v>0</v>
      </c>
      <c r="AY93" s="281" t="s">
        <v>0</v>
      </c>
      <c r="AZ93" s="281" t="s">
        <v>0</v>
      </c>
      <c r="BA93" s="553" t="s">
        <v>0</v>
      </c>
      <c r="BB93" s="281" t="s">
        <v>0</v>
      </c>
      <c r="BC93" s="281" t="s">
        <v>0</v>
      </c>
      <c r="BD93" s="281" t="s">
        <v>0</v>
      </c>
      <c r="BE93" s="281" t="s">
        <v>0</v>
      </c>
      <c r="BF93" s="553" t="s">
        <v>0</v>
      </c>
      <c r="BG93" s="281" t="s">
        <v>0</v>
      </c>
      <c r="BH93" s="281" t="s">
        <v>0</v>
      </c>
      <c r="BI93" s="281" t="s">
        <v>0</v>
      </c>
      <c r="BJ93" s="281" t="s">
        <v>0</v>
      </c>
      <c r="BK93" s="553" t="s">
        <v>0</v>
      </c>
      <c r="BL93" s="281" t="s">
        <v>0</v>
      </c>
      <c r="BM93" s="281" t="s">
        <v>0</v>
      </c>
      <c r="BN93" s="281" t="s">
        <v>0</v>
      </c>
      <c r="BO93" s="281" t="s">
        <v>0</v>
      </c>
      <c r="BP93" s="553" t="s">
        <v>0</v>
      </c>
      <c r="BQ93" s="281" t="s">
        <v>0</v>
      </c>
      <c r="BR93" s="281" t="s">
        <v>0</v>
      </c>
      <c r="BS93" s="281" t="s">
        <v>0</v>
      </c>
      <c r="BT93" s="281" t="s">
        <v>0</v>
      </c>
      <c r="BU93" s="553" t="s">
        <v>0</v>
      </c>
      <c r="BV93" s="281" t="s">
        <v>0</v>
      </c>
      <c r="BW93" s="281" t="s">
        <v>0</v>
      </c>
      <c r="BX93" s="281" t="s">
        <v>0</v>
      </c>
      <c r="BY93" s="281" t="s">
        <v>0</v>
      </c>
      <c r="BZ93" s="553" t="s">
        <v>0</v>
      </c>
      <c r="CA93" s="281" t="s">
        <v>0</v>
      </c>
      <c r="CB93" s="281" t="s">
        <v>0</v>
      </c>
      <c r="CC93" s="281" t="s">
        <v>0</v>
      </c>
      <c r="CD93" s="281" t="s">
        <v>0</v>
      </c>
      <c r="CE93" s="553" t="s">
        <v>0</v>
      </c>
    </row>
    <row r="94" spans="1:83" s="124" customFormat="1" ht="13.15">
      <c r="B94" s="274" t="s">
        <v>138</v>
      </c>
      <c r="C94" s="309"/>
      <c r="D94" s="309">
        <f t="shared" ref="D94:AC94" si="405">+SUM(D87:D92)-D88</f>
        <v>2296</v>
      </c>
      <c r="E94" s="309">
        <f t="shared" si="405"/>
        <v>2462</v>
      </c>
      <c r="F94" s="309">
        <f t="shared" si="405"/>
        <v>4599</v>
      </c>
      <c r="G94" s="309">
        <f t="shared" si="405"/>
        <v>4441</v>
      </c>
      <c r="H94" s="309">
        <f t="shared" si="405"/>
        <v>13798</v>
      </c>
      <c r="I94" s="309">
        <f t="shared" si="405"/>
        <v>2795</v>
      </c>
      <c r="J94" s="309">
        <f t="shared" si="405"/>
        <v>4475</v>
      </c>
      <c r="K94" s="309">
        <f t="shared" si="405"/>
        <v>3302</v>
      </c>
      <c r="L94" s="309">
        <f t="shared" si="405"/>
        <v>6855</v>
      </c>
      <c r="M94" s="309">
        <f t="shared" si="405"/>
        <v>17427</v>
      </c>
      <c r="N94" s="309">
        <f t="shared" si="405"/>
        <v>4670</v>
      </c>
      <c r="O94" s="309">
        <f t="shared" si="405"/>
        <v>7247</v>
      </c>
      <c r="P94" s="309">
        <f t="shared" si="405"/>
        <v>9045</v>
      </c>
      <c r="Q94" s="309">
        <f t="shared" si="405"/>
        <v>10731</v>
      </c>
      <c r="R94" s="532">
        <f t="shared" si="405"/>
        <v>31693</v>
      </c>
      <c r="S94" s="309">
        <f t="shared" si="405"/>
        <v>11977</v>
      </c>
      <c r="T94" s="309">
        <f t="shared" si="405"/>
        <v>13098</v>
      </c>
      <c r="U94" s="309">
        <f t="shared" si="405"/>
        <v>15137</v>
      </c>
      <c r="V94" s="309">
        <f t="shared" si="405"/>
        <v>16448</v>
      </c>
      <c r="W94" s="532">
        <f t="shared" si="405"/>
        <v>56660</v>
      </c>
      <c r="X94" s="309">
        <f t="shared" si="405"/>
        <v>16128</v>
      </c>
      <c r="Y94" s="309">
        <f t="shared" si="405"/>
        <v>15744</v>
      </c>
      <c r="Z94" s="309">
        <f t="shared" si="405"/>
        <v>17626</v>
      </c>
      <c r="AA94" s="309">
        <f t="shared" si="405"/>
        <v>18468</v>
      </c>
      <c r="AB94" s="532">
        <f t="shared" si="405"/>
        <v>67966</v>
      </c>
      <c r="AC94" s="309">
        <f t="shared" si="405"/>
        <v>16808</v>
      </c>
      <c r="AD94" s="309">
        <f>+SUM(AD87:AD92)-AD88</f>
        <v>20419</v>
      </c>
      <c r="AE94" s="309">
        <f t="shared" ref="AE94:AL94" si="406">+SUM(AE87:AE92)-AE88</f>
        <v>23863</v>
      </c>
      <c r="AF94" s="309">
        <f t="shared" si="406"/>
        <v>23842</v>
      </c>
      <c r="AG94" s="532">
        <f t="shared" si="406"/>
        <v>84932</v>
      </c>
      <c r="AH94" s="309">
        <f t="shared" si="406"/>
        <v>24618</v>
      </c>
      <c r="AI94" s="309">
        <f t="shared" si="406"/>
        <v>26734</v>
      </c>
      <c r="AJ94" s="309">
        <f t="shared" si="406"/>
        <v>31888</v>
      </c>
      <c r="AK94" s="309">
        <f t="shared" si="406"/>
        <v>29141</v>
      </c>
      <c r="AL94" s="532">
        <f t="shared" si="406"/>
        <v>112381</v>
      </c>
      <c r="AM94" s="309">
        <f t="shared" ref="AM94:AQ94" si="407">+SUM(AM87:AM92)-AM88</f>
        <v>30625</v>
      </c>
      <c r="AN94" s="309">
        <f t="shared" si="407"/>
        <v>33376</v>
      </c>
      <c r="AO94" s="309">
        <f t="shared" si="407"/>
        <v>38609</v>
      </c>
      <c r="AP94" s="309">
        <f t="shared" si="407"/>
        <v>37574</v>
      </c>
      <c r="AQ94" s="532">
        <f t="shared" si="407"/>
        <v>139599</v>
      </c>
      <c r="AR94" s="309">
        <f t="shared" ref="AR94:AV94" si="408">+SUM(AR87:AR92)-AR88</f>
        <v>38175</v>
      </c>
      <c r="AS94" s="309">
        <f t="shared" si="408"/>
        <v>42838</v>
      </c>
      <c r="AT94" s="309">
        <f t="shared" si="408"/>
        <v>45134</v>
      </c>
      <c r="AU94" s="309">
        <f t="shared" si="408"/>
        <v>43386</v>
      </c>
      <c r="AV94" s="532">
        <f t="shared" si="408"/>
        <v>169503</v>
      </c>
      <c r="AW94" s="309">
        <f t="shared" ref="AW94:BA94" si="409">+SUM(AW87:AW92)-AW88</f>
        <v>44575</v>
      </c>
      <c r="AX94" s="309">
        <f t="shared" si="409"/>
        <v>46706</v>
      </c>
      <c r="AY94" s="309">
        <f t="shared" ref="AY94" si="410">+SUM(AY87:AY92)-AY88</f>
        <v>50323</v>
      </c>
      <c r="AZ94" s="309">
        <f t="shared" si="409"/>
        <v>49555</v>
      </c>
      <c r="BA94" s="532">
        <f t="shared" si="409"/>
        <v>191159</v>
      </c>
      <c r="BB94" s="309">
        <f t="shared" ref="BB94:BF94" si="411">+SUM(BB87:BB92)-BB88</f>
        <v>54262</v>
      </c>
      <c r="BC94" s="309">
        <f t="shared" si="411"/>
        <v>54384</v>
      </c>
      <c r="BD94" s="309">
        <f t="shared" si="411"/>
        <v>54858</v>
      </c>
      <c r="BE94" s="309">
        <f t="shared" si="411"/>
        <v>55074</v>
      </c>
      <c r="BF94" s="532">
        <f t="shared" si="411"/>
        <v>218577</v>
      </c>
      <c r="BG94" s="309">
        <f t="shared" ref="BG94:BK94" si="412">+SUM(BG87:BG92)-BG88</f>
        <v>58655</v>
      </c>
      <c r="BH94" s="309">
        <f t="shared" si="412"/>
        <v>65834</v>
      </c>
      <c r="BI94" s="309">
        <f t="shared" si="412"/>
        <v>68811</v>
      </c>
      <c r="BJ94" s="309">
        <f t="shared" si="412"/>
        <v>65839</v>
      </c>
      <c r="BK94" s="532">
        <f t="shared" si="412"/>
        <v>259139</v>
      </c>
      <c r="BL94" s="309">
        <f t="shared" ref="BL94:BP94" si="413">+SUM(BL87:BL92)-BL88</f>
        <v>69031</v>
      </c>
      <c r="BM94" s="309">
        <f t="shared" si="413"/>
        <v>69934</v>
      </c>
      <c r="BN94" s="309">
        <f t="shared" si="413"/>
        <v>69682</v>
      </c>
      <c r="BO94" s="309">
        <f t="shared" si="413"/>
        <v>74195</v>
      </c>
      <c r="BP94" s="532">
        <f t="shared" si="413"/>
        <v>282842</v>
      </c>
      <c r="BQ94" s="309">
        <f>+SUM(BQ87:BQ92)</f>
        <v>74752</v>
      </c>
      <c r="BR94" s="309">
        <f t="shared" ref="BR94:BU94" si="414">+SUM(BR87:BR92)-BR88</f>
        <v>73431</v>
      </c>
      <c r="BS94" s="309">
        <f t="shared" si="414"/>
        <v>82600</v>
      </c>
      <c r="BT94" s="309">
        <f>+SUM(BT87:BT92)-BT88</f>
        <v>82626</v>
      </c>
      <c r="BU94" s="532">
        <f t="shared" si="414"/>
        <v>313409</v>
      </c>
      <c r="BV94" s="309">
        <f t="shared" ref="BV94:BZ94" si="415">+SUM(BV87:BV92)-BV88</f>
        <v>78517.658600000024</v>
      </c>
      <c r="BW94" s="309">
        <f t="shared" si="415"/>
        <v>77445.420484750037</v>
      </c>
      <c r="BX94" s="309">
        <f t="shared" si="415"/>
        <v>78557.458562024985</v>
      </c>
      <c r="BY94" s="309">
        <f t="shared" si="415"/>
        <v>78607.041528722519</v>
      </c>
      <c r="BZ94" s="532">
        <f t="shared" si="415"/>
        <v>313127.57917549764</v>
      </c>
      <c r="CA94" s="309">
        <f t="shared" ref="CA94:CE94" si="416">+SUM(CA87:CA92)-CA88</f>
        <v>81945.616667382405</v>
      </c>
      <c r="CB94" s="309">
        <f t="shared" si="416"/>
        <v>83440.806869978784</v>
      </c>
      <c r="CC94" s="309">
        <f t="shared" si="416"/>
        <v>86013.681766319394</v>
      </c>
      <c r="CD94" s="309">
        <f t="shared" si="416"/>
        <v>90164.232010316875</v>
      </c>
      <c r="CE94" s="532">
        <f t="shared" si="416"/>
        <v>341564.33731399744</v>
      </c>
    </row>
    <row r="95" spans="1:83" s="124" customFormat="1" ht="13.15" hidden="1" outlineLevel="1">
      <c r="B95" s="274"/>
      <c r="C95" s="289"/>
      <c r="E95" s="327"/>
      <c r="F95" s="327"/>
      <c r="G95" s="327"/>
      <c r="H95" s="307"/>
      <c r="I95" s="327"/>
      <c r="J95" s="327"/>
      <c r="K95" s="327"/>
      <c r="L95" s="327"/>
      <c r="M95" s="307"/>
      <c r="N95" s="327"/>
      <c r="O95" s="327"/>
      <c r="P95" s="327"/>
      <c r="Q95" s="327"/>
      <c r="R95" s="557"/>
      <c r="S95" s="327"/>
      <c r="T95" s="327"/>
      <c r="U95" s="327"/>
      <c r="V95" s="327"/>
      <c r="W95" s="557"/>
      <c r="X95" s="327"/>
      <c r="Y95" s="327"/>
      <c r="Z95" s="327"/>
      <c r="AA95" s="327"/>
      <c r="AB95" s="552"/>
      <c r="AC95" s="327"/>
      <c r="AD95" s="327"/>
      <c r="AE95" s="327"/>
      <c r="AF95" s="327" t="e">
        <f ca="1">_xll.FDS(+IS!$B$1,"FE_ESTIMATE(EBITDA_ADJ,MEAN,QUARTERLY,"&amp;IS!AF$74&amp;",NOW,,,'')")*1000</f>
        <v>#NAME?</v>
      </c>
      <c r="AG95" s="552" t="e">
        <f ca="1">_xll.FDS(+IS!$B$1,"FE_ESTIMATE(EBITDA_ADJ,MEAN,ANNUAL,"&amp;IS!AG$74&amp;",NOW,,,'')")*1000</f>
        <v>#NAME?</v>
      </c>
      <c r="AH95" s="327" t="e">
        <f ca="1">_xll.FDS(+IS!$B$1,"FE_ESTIMATE(EBITDA_ADJ,MEAN,QUARTERLY,"&amp;IS!AH$74&amp;",NOW,,,'')")*1000</f>
        <v>#NAME?</v>
      </c>
      <c r="AI95" s="327" t="e">
        <f ca="1">_xll.FDS(+IS!$B$1,"FE_ESTIMATE(EBITDA_ADJ,MEAN,QUARTERLY,"&amp;IS!AI$74&amp;",NOW,,,'')")*1000</f>
        <v>#NAME?</v>
      </c>
      <c r="AJ95" s="327" t="e">
        <f ca="1">_xll.FDS(+IS!$B$1,"FE_ESTIMATE(EBITDA_ADJ,MEAN,QUARTERLY,"&amp;IS!AJ$74&amp;",NOW,,,'')")*1000</f>
        <v>#NAME?</v>
      </c>
      <c r="AK95" s="327" t="e">
        <f ca="1">_xll.FDS(+IS!$B$1,"FE_ESTIMATE(EBITDA_ADJ,MEAN,QUARTERLY,"&amp;IS!AK$74&amp;",NOW,,,'')")*1000</f>
        <v>#NAME?</v>
      </c>
      <c r="AL95" s="552" t="e">
        <f ca="1">_xll.FDS(+IS!$B$1,"FE_ESTIMATE(EBITDA_ADJ,MEAN,ANNUAL,"&amp;IS!AL$74&amp;",NOW,,,'')")*1000</f>
        <v>#NAME?</v>
      </c>
      <c r="AM95" s="327" t="e">
        <f ca="1">_xll.FDS(+IS!$B$1,"FE_ESTIMATE(EBITDA_ADJ,MEAN,QUARTERLY,"&amp;IS!AM$74&amp;",NOW,,,'')")*1000</f>
        <v>#NAME?</v>
      </c>
      <c r="AN95" s="327" t="e">
        <f ca="1">_xll.FDS(+IS!$B$1,"FE_ESTIMATE(EBITDA_ADJ,MEAN,QUARTERLY,"&amp;IS!AN$74&amp;",NOW,,,'')")*1000</f>
        <v>#NAME?</v>
      </c>
      <c r="AO95" s="327" t="e">
        <f ca="1">_xll.FDS(+IS!$B$1,"FE_ESTIMATE(EBITDA_ADJ,MEAN,QUARTERLY,"&amp;IS!AO$74&amp;",NOW,,,'')")*1000</f>
        <v>#NAME?</v>
      </c>
      <c r="AP95" s="327" t="e">
        <f ca="1">_xll.FDS(+IS!$B$1,"FE_ESTIMATE(EBITDA_ADJ,MEAN,QUARTERLY,"&amp;IS!AP$74&amp;",NOW,,,'')")*1000</f>
        <v>#NAME?</v>
      </c>
      <c r="AQ95" s="552" t="e">
        <f ca="1">_xll.FDS(+IS!$B$1,"FE_ESTIMATE(EBITDA_ADJ,MEAN,ANNUAL,"&amp;IS!AQ$74&amp;",NOW,,,'')")*1000</f>
        <v>#NAME?</v>
      </c>
      <c r="AR95" s="327"/>
      <c r="AS95" s="327"/>
      <c r="AT95" s="327"/>
      <c r="AU95" s="327"/>
      <c r="AV95" s="552" t="e">
        <f ca="1">_xll.FDS(+IS!$B$1,"FE_ESTIMATE(EBITDA_ADJ,MEAN,ANNUAL,"&amp;IS!AV$74&amp;",NOW,,,'')")*1000</f>
        <v>#NAME?</v>
      </c>
      <c r="AW95" s="327"/>
      <c r="AX95" s="327"/>
      <c r="AY95" s="327"/>
      <c r="AZ95" s="327"/>
      <c r="BA95" s="552"/>
      <c r="BB95" s="327"/>
      <c r="BC95" s="327"/>
      <c r="BD95" s="327"/>
      <c r="BE95" s="327"/>
      <c r="BF95" s="552"/>
      <c r="BG95" s="327"/>
      <c r="BH95" s="327"/>
      <c r="BI95" s="327"/>
      <c r="BJ95" s="327"/>
      <c r="BK95" s="552"/>
      <c r="BL95" s="327"/>
      <c r="BM95" s="327"/>
      <c r="BN95" s="327"/>
      <c r="BO95" s="327"/>
      <c r="BP95" s="552"/>
      <c r="BQ95" s="327"/>
      <c r="BR95" s="327"/>
      <c r="BS95" s="327"/>
      <c r="BT95" s="327"/>
      <c r="BU95" s="552"/>
      <c r="BV95" s="327"/>
      <c r="BW95" s="327"/>
      <c r="BX95" s="327"/>
      <c r="BY95" s="327"/>
      <c r="BZ95" s="552"/>
      <c r="CA95" s="327"/>
      <c r="CB95" s="327"/>
      <c r="CC95" s="327"/>
      <c r="CD95" s="327"/>
      <c r="CE95" s="552"/>
    </row>
    <row r="96" spans="1:83" s="121" customFormat="1" ht="12.75" collapsed="1">
      <c r="B96" s="273" t="s">
        <v>128</v>
      </c>
      <c r="C96" s="275"/>
      <c r="D96" s="276"/>
      <c r="E96" s="276"/>
      <c r="F96" s="276"/>
      <c r="G96" s="276"/>
      <c r="H96" s="283">
        <f>+H94/10426-1</f>
        <v>0.3234222136965279</v>
      </c>
      <c r="I96" s="283">
        <f>+I94/D94-1</f>
        <v>0.21733449477351918</v>
      </c>
      <c r="J96" s="283">
        <f t="shared" ref="J96" si="417">+J94/E94-1</f>
        <v>0.81762794476035738</v>
      </c>
      <c r="K96" s="283">
        <f t="shared" ref="K96" si="418">+K94/F94-1</f>
        <v>-0.28201782996303548</v>
      </c>
      <c r="L96" s="283">
        <f t="shared" ref="L96" si="419">+L94/G94-1</f>
        <v>0.54357126773249265</v>
      </c>
      <c r="M96" s="283">
        <f t="shared" ref="M96" si="420">+M94/H94-1</f>
        <v>0.26300913175822593</v>
      </c>
      <c r="N96" s="283">
        <f>+N94/I94-1</f>
        <v>0.67084078711985695</v>
      </c>
      <c r="O96" s="283">
        <f t="shared" ref="O96" si="421">+O94/J94-1</f>
        <v>0.61944134078212287</v>
      </c>
      <c r="P96" s="283">
        <f t="shared" ref="P96" si="422">+P94/K94-1</f>
        <v>1.7392489400363416</v>
      </c>
      <c r="Q96" s="283">
        <f t="shared" ref="Q96" si="423">+Q94/L94-1</f>
        <v>0.56542669584245075</v>
      </c>
      <c r="R96" s="533">
        <f t="shared" ref="R96" si="424">+R94/M94-1</f>
        <v>0.81861479313708618</v>
      </c>
      <c r="S96" s="283">
        <f>+S94/N94-1</f>
        <v>1.5646680942184155</v>
      </c>
      <c r="T96" s="283">
        <f t="shared" ref="T96" si="425">+T94/O94-1</f>
        <v>0.8073685663032979</v>
      </c>
      <c r="U96" s="283">
        <f t="shared" ref="U96" si="426">+U94/P94-1</f>
        <v>0.67352128247650644</v>
      </c>
      <c r="V96" s="283">
        <f t="shared" ref="V96" si="427">+V94/Q94-1</f>
        <v>0.53275556798061685</v>
      </c>
      <c r="W96" s="533">
        <f t="shared" ref="W96" si="428">+W94/R94-1</f>
        <v>0.78777648061086047</v>
      </c>
      <c r="X96" s="283">
        <f t="shared" ref="X96" si="429">+X94/S94-1</f>
        <v>0.34658094681472829</v>
      </c>
      <c r="Y96" s="283">
        <f t="shared" ref="Y96" si="430">+Y94/T94-1</f>
        <v>0.20201557489693078</v>
      </c>
      <c r="Z96" s="283">
        <f t="shared" ref="Z96" si="431">+Z94/U94-1</f>
        <v>0.16443152540133443</v>
      </c>
      <c r="AA96" s="283">
        <f t="shared" ref="AA96" si="432">+AA94/V94-1</f>
        <v>0.12281128404669261</v>
      </c>
      <c r="AB96" s="533">
        <f t="shared" ref="AB96" si="433">+AB94/W94-1</f>
        <v>0.19954112248499833</v>
      </c>
      <c r="AC96" s="283">
        <f t="shared" ref="AC96" si="434">+AC94/X94-1</f>
        <v>4.2162698412698374E-2</v>
      </c>
      <c r="AD96" s="283">
        <f t="shared" ref="AD96" si="435">+AD94/Y94-1</f>
        <v>0.29693851626016254</v>
      </c>
      <c r="AE96" s="283">
        <f t="shared" ref="AE96" si="436">+AE94/Z94-1</f>
        <v>0.35385226370135037</v>
      </c>
      <c r="AF96" s="283">
        <f t="shared" ref="AF96" si="437">+AF94/AA94-1</f>
        <v>0.29098982022958642</v>
      </c>
      <c r="AG96" s="533">
        <f t="shared" ref="AG96" si="438">+AG94/AB94-1</f>
        <v>0.24962481240620304</v>
      </c>
      <c r="AH96" s="283">
        <f t="shared" ref="AH96" si="439">+AH94/AC94-1</f>
        <v>0.46465968586387429</v>
      </c>
      <c r="AI96" s="283">
        <f t="shared" ref="AI96" si="440">+AI94/AD94-1</f>
        <v>0.30927077721729757</v>
      </c>
      <c r="AJ96" s="283">
        <f t="shared" ref="AJ96" si="441">+AJ94/AE94-1</f>
        <v>0.33629468214390479</v>
      </c>
      <c r="AK96" s="283">
        <f t="shared" ref="AK96" si="442">+AK94/AF94-1</f>
        <v>0.22225484439224896</v>
      </c>
      <c r="AL96" s="533">
        <f t="shared" ref="AL96" si="443">+AL94/AG94-1</f>
        <v>0.32318796213441336</v>
      </c>
      <c r="AM96" s="283">
        <f t="shared" ref="AM96" si="444">+AM94/AH94-1</f>
        <v>0.24400844910228292</v>
      </c>
      <c r="AN96" s="283">
        <f t="shared" ref="AN96" si="445">+AN94/AI94-1</f>
        <v>0.24844766963417375</v>
      </c>
      <c r="AO96" s="283">
        <f t="shared" ref="AO96" si="446">+AO94/AJ94-1</f>
        <v>0.21076894129453083</v>
      </c>
      <c r="AP96" s="283">
        <f t="shared" ref="AP96" si="447">+AP94/AK94-1</f>
        <v>0.28938608832915813</v>
      </c>
      <c r="AQ96" s="533">
        <f t="shared" ref="AQ96" si="448">+AQ94/AL94-1</f>
        <v>0.24219396517204861</v>
      </c>
      <c r="AR96" s="283">
        <f t="shared" ref="AR96" si="449">+AR94/AM94-1</f>
        <v>0.24653061224489803</v>
      </c>
      <c r="AS96" s="283">
        <f t="shared" ref="AS96" si="450">+AS94/AN94-1</f>
        <v>0.28349712368168745</v>
      </c>
      <c r="AT96" s="283">
        <f t="shared" ref="AT96" si="451">+AT94/AO94-1</f>
        <v>0.16900204615504166</v>
      </c>
      <c r="AU96" s="283">
        <f t="shared" ref="AU96" si="452">+AU94/AP94-1</f>
        <v>0.15468142864746892</v>
      </c>
      <c r="AV96" s="533">
        <f t="shared" ref="AV96" si="453">+AV94/AQ94-1</f>
        <v>0.21421356886510656</v>
      </c>
      <c r="AW96" s="283">
        <f t="shared" ref="AW96" si="454">+AW94/AR94-1</f>
        <v>0.16764898493778646</v>
      </c>
      <c r="AX96" s="283">
        <f t="shared" ref="AX96" si="455">+AX94/AS94-1</f>
        <v>9.0293664503478199E-2</v>
      </c>
      <c r="AY96" s="283">
        <f t="shared" ref="AY96" si="456">+AY94/AT94-1</f>
        <v>0.11496875969335751</v>
      </c>
      <c r="AZ96" s="283">
        <f t="shared" ref="AZ96" si="457">+AZ94/AU94-1</f>
        <v>0.14218872447333242</v>
      </c>
      <c r="BA96" s="533">
        <f t="shared" ref="BA96" si="458">+BA94/AV94-1</f>
        <v>0.12776175052948924</v>
      </c>
      <c r="BB96" s="283">
        <f t="shared" ref="BB96" si="459">+BB94/AW94-1</f>
        <v>0.21731912507010653</v>
      </c>
      <c r="BC96" s="283">
        <f t="shared" ref="BC96" si="460">+BC94/AX94-1</f>
        <v>0.16439001413094667</v>
      </c>
      <c r="BD96" s="283">
        <f t="shared" ref="BD96" si="461">+BD94/AY94-1</f>
        <v>9.0117838761599955E-2</v>
      </c>
      <c r="BE96" s="283">
        <f t="shared" ref="BE96" si="462">+BE94/AZ94-1</f>
        <v>0.1113712037130461</v>
      </c>
      <c r="BF96" s="533">
        <f t="shared" ref="BF96" si="463">+BF94/BA94-1</f>
        <v>0.1434303380955122</v>
      </c>
      <c r="BG96" s="283">
        <f t="shared" ref="BG96" si="464">+BG94/BB94-1</f>
        <v>8.0959050532600996E-2</v>
      </c>
      <c r="BH96" s="283">
        <f t="shared" ref="BH96" si="465">+BH94/BC94-1</f>
        <v>0.21053986466607832</v>
      </c>
      <c r="BI96" s="283">
        <f t="shared" ref="BI96" si="466">+BI94/BD94-1</f>
        <v>0.25434758831893256</v>
      </c>
      <c r="BJ96" s="283">
        <f t="shared" ref="BJ96" si="467">+BJ94/BE94-1</f>
        <v>0.19546428441732933</v>
      </c>
      <c r="BK96" s="533">
        <f t="shared" ref="BK96" si="468">+BK94/BF94-1</f>
        <v>0.18557304748441061</v>
      </c>
      <c r="BL96" s="283">
        <f t="shared" ref="BL96" si="469">+BL94/BG94-1</f>
        <v>0.17689881510527661</v>
      </c>
      <c r="BM96" s="283">
        <f t="shared" ref="BM96" si="470">+BM94/BH94-1</f>
        <v>6.2277850350882513E-2</v>
      </c>
      <c r="BN96" s="283">
        <f t="shared" ref="BN96" si="471">+BN94/BI94-1</f>
        <v>1.2657859935184756E-2</v>
      </c>
      <c r="BO96" s="283">
        <f t="shared" ref="BO96" si="472">+BO94/BJ94-1</f>
        <v>0.1269156578927384</v>
      </c>
      <c r="BP96" s="533">
        <f t="shared" ref="BP96" si="473">+BP94/BK94-1</f>
        <v>9.1468285360366552E-2</v>
      </c>
      <c r="BQ96" s="283">
        <f t="shared" ref="BQ96" si="474">+BQ94/BL94-1</f>
        <v>8.2875809418956781E-2</v>
      </c>
      <c r="BR96" s="283">
        <f t="shared" ref="BR96" si="475">+BR94/BM94-1</f>
        <v>5.0004289758915466E-2</v>
      </c>
      <c r="BS96" s="283">
        <f t="shared" ref="BS96" si="476">+BS94/BN94-1</f>
        <v>0.18538503487270752</v>
      </c>
      <c r="BT96" s="283">
        <f t="shared" ref="BT96" si="477">+BT94/BO94-1</f>
        <v>0.11363299413707129</v>
      </c>
      <c r="BU96" s="533">
        <f t="shared" ref="BU96" si="478">+BU94/BP94-1</f>
        <v>0.10807093713097782</v>
      </c>
      <c r="BV96" s="283">
        <f t="shared" ref="BV96" si="479">+BV94/BQ94-1</f>
        <v>5.03753558433222E-2</v>
      </c>
      <c r="BW96" s="283">
        <f t="shared" ref="BW96" si="480">+BW94/BR94-1</f>
        <v>5.4669287967616276E-2</v>
      </c>
      <c r="BX96" s="283">
        <f t="shared" ref="BX96" si="481">+BX94/BS94-1</f>
        <v>-4.8941179636501353E-2</v>
      </c>
      <c r="BY96" s="283">
        <f t="shared" ref="BY96" si="482">+BY94/BT94-1</f>
        <v>-4.8640361039835933E-2</v>
      </c>
      <c r="BZ96" s="533">
        <f t="shared" ref="BZ96" si="483">+BZ94/BU94-1</f>
        <v>-8.9793472587695877E-4</v>
      </c>
      <c r="CA96" s="283">
        <f t="shared" ref="CA96" si="484">+CA94/BV94-1</f>
        <v>4.3658434656664413E-2</v>
      </c>
      <c r="CB96" s="283">
        <f t="shared" ref="CB96" si="485">+CB94/BW94-1</f>
        <v>7.7414343517049122E-2</v>
      </c>
      <c r="CC96" s="283">
        <f t="shared" ref="CC96" si="486">+CC94/BX94-1</f>
        <v>9.4914262003618077E-2</v>
      </c>
      <c r="CD96" s="283">
        <f t="shared" ref="CD96" si="487">+CD94/BY94-1</f>
        <v>0.14702487533984376</v>
      </c>
      <c r="CE96" s="533">
        <f t="shared" ref="CE96" si="488">+CE94/BZ94-1</f>
        <v>9.0815246020095719E-2</v>
      </c>
    </row>
    <row r="97" spans="1:83" s="121" customFormat="1" ht="12.75">
      <c r="B97" s="273" t="s">
        <v>129</v>
      </c>
      <c r="C97" s="275"/>
      <c r="D97" s="276"/>
      <c r="E97" s="276">
        <f>+E94/D94-1</f>
        <v>7.2299651567944156E-2</v>
      </c>
      <c r="F97" s="276">
        <f>+F94/E94-1</f>
        <v>0.86799350121852159</v>
      </c>
      <c r="G97" s="276">
        <f>+G94/F94-1</f>
        <v>-3.435529462926723E-2</v>
      </c>
      <c r="H97" s="276"/>
      <c r="I97" s="276">
        <f>+I94/G94-1</f>
        <v>-0.37063724386399455</v>
      </c>
      <c r="J97" s="276">
        <f>+J94/I94-1</f>
        <v>0.60107334525939171</v>
      </c>
      <c r="K97" s="276">
        <f>+K94/J94-1</f>
        <v>-0.26212290502793301</v>
      </c>
      <c r="L97" s="276">
        <f>+L94/K94-1</f>
        <v>1.076014536644458</v>
      </c>
      <c r="M97" s="276"/>
      <c r="N97" s="276">
        <f>+N94/L94-1</f>
        <v>-0.3187454412837345</v>
      </c>
      <c r="O97" s="276">
        <f>+O94/N94-1</f>
        <v>0.55182012847965733</v>
      </c>
      <c r="P97" s="276">
        <f>+P94/O94-1</f>
        <v>0.2481026631709673</v>
      </c>
      <c r="Q97" s="276">
        <f>+Q94/P94-1</f>
        <v>0.18640132669983411</v>
      </c>
      <c r="R97" s="529"/>
      <c r="S97" s="276">
        <f>+S94/Q94-1</f>
        <v>0.11611219830397923</v>
      </c>
      <c r="T97" s="276">
        <f>+T94/S94-1</f>
        <v>9.3596059113300489E-2</v>
      </c>
      <c r="U97" s="276">
        <f>+U94/T94-1</f>
        <v>0.15567262177431673</v>
      </c>
      <c r="V97" s="276">
        <f>+V94/U94-1</f>
        <v>8.6608971394596113E-2</v>
      </c>
      <c r="W97" s="529"/>
      <c r="X97" s="276">
        <f>+X94/V94-1</f>
        <v>-1.945525291828798E-2</v>
      </c>
      <c r="Y97" s="276">
        <f>+Y94/X94-1</f>
        <v>-2.3809523809523836E-2</v>
      </c>
      <c r="Z97" s="276">
        <f>+Z94/Y94-1</f>
        <v>0.11953760162601634</v>
      </c>
      <c r="AA97" s="276">
        <f>+AA94/Z94-1</f>
        <v>4.7770339271530737E-2</v>
      </c>
      <c r="AB97" s="529"/>
      <c r="AC97" s="276">
        <f>+AC94/AA94-1</f>
        <v>-8.9885206844271148E-2</v>
      </c>
      <c r="AD97" s="276">
        <f>+AD94/AC94-1</f>
        <v>0.21483817229890523</v>
      </c>
      <c r="AE97" s="276">
        <f>+AE94/AD94-1</f>
        <v>0.16866643812135762</v>
      </c>
      <c r="AF97" s="276">
        <f>+AF94/AE94-1</f>
        <v>-8.8002346729243452E-4</v>
      </c>
      <c r="AG97" s="529"/>
      <c r="AH97" s="276">
        <f>+AH94/AF94-1</f>
        <v>3.2547605066689078E-2</v>
      </c>
      <c r="AI97" s="276">
        <f>+AI94/AH94-1</f>
        <v>8.5953367454707941E-2</v>
      </c>
      <c r="AJ97" s="276">
        <f>+AJ94/AI94-1</f>
        <v>0.19278820977032995</v>
      </c>
      <c r="AK97" s="276">
        <f>+AK94/AJ94-1</f>
        <v>-8.6145258404415448E-2</v>
      </c>
      <c r="AL97" s="529"/>
      <c r="AM97" s="276">
        <f>+AM94/AK94-1</f>
        <v>5.0924813836175753E-2</v>
      </c>
      <c r="AN97" s="276">
        <f>+AN94/AM94-1</f>
        <v>8.9828571428571369E-2</v>
      </c>
      <c r="AO97" s="276">
        <f>+AO94/AN94-1</f>
        <v>0.15678930968360505</v>
      </c>
      <c r="AP97" s="276">
        <f>+AP94/AO94-1</f>
        <v>-2.6807221114247937E-2</v>
      </c>
      <c r="AQ97" s="529"/>
      <c r="AR97" s="276">
        <f>+AR94/AP94-1</f>
        <v>1.5995102996753108E-2</v>
      </c>
      <c r="AS97" s="276">
        <f>+AS94/AR94-1</f>
        <v>0.12214800261951542</v>
      </c>
      <c r="AT97" s="276">
        <f>+AT94/AS94-1</f>
        <v>5.3597273448807048E-2</v>
      </c>
      <c r="AU97" s="276">
        <f>+AU94/AT94-1</f>
        <v>-3.8729117738290464E-2</v>
      </c>
      <c r="AV97" s="529"/>
      <c r="AW97" s="276">
        <f>+AW94/AU94-1</f>
        <v>2.7405153736228316E-2</v>
      </c>
      <c r="AX97" s="276">
        <f>+AX94/AW94-1</f>
        <v>4.7807066741446969E-2</v>
      </c>
      <c r="AY97" s="276">
        <f>+AY94/AX94-1</f>
        <v>7.7441870423500259E-2</v>
      </c>
      <c r="AZ97" s="276">
        <f>+AZ94/AY94-1</f>
        <v>-1.5261411283111093E-2</v>
      </c>
      <c r="BA97" s="529"/>
      <c r="BB97" s="276">
        <f>+BB94/AZ94-1</f>
        <v>9.4985369791141139E-2</v>
      </c>
      <c r="BC97" s="276">
        <f>+BC94/BB94-1</f>
        <v>2.2483505952599625E-3</v>
      </c>
      <c r="BD97" s="276">
        <f>+BD94/BC94-1</f>
        <v>8.715798764342475E-3</v>
      </c>
      <c r="BE97" s="276">
        <f>+BE94/BD94-1</f>
        <v>3.9374384775237026E-3</v>
      </c>
      <c r="BF97" s="529"/>
      <c r="BG97" s="276">
        <f>+BG94/BE94-1</f>
        <v>6.5021607292007122E-2</v>
      </c>
      <c r="BH97" s="276">
        <f>+BH94/BG94-1</f>
        <v>0.12239365782968203</v>
      </c>
      <c r="BI97" s="276">
        <f>+BI94/BH94-1</f>
        <v>4.5219795242579908E-2</v>
      </c>
      <c r="BJ97" s="276">
        <f>+BJ94/BI94-1</f>
        <v>-4.3190768917760192E-2</v>
      </c>
      <c r="BK97" s="529"/>
      <c r="BL97" s="276">
        <f>+BL94/BJ94-1</f>
        <v>4.8481902823554357E-2</v>
      </c>
      <c r="BM97" s="276">
        <f>+BM94/BL94-1</f>
        <v>1.3081079515000482E-2</v>
      </c>
      <c r="BN97" s="276">
        <f>+BN94/BM94-1</f>
        <v>-3.6033974890611331E-3</v>
      </c>
      <c r="BO97" s="276">
        <f>+BO94/BN94-1</f>
        <v>6.4765649665623926E-2</v>
      </c>
      <c r="BP97" s="529"/>
      <c r="BQ97" s="276">
        <f>+BQ94/BO94-1</f>
        <v>7.5072444234787206E-3</v>
      </c>
      <c r="BR97" s="276">
        <f>+BR94/BQ94-1</f>
        <v>-1.7671767979452024E-2</v>
      </c>
      <c r="BS97" s="276">
        <f>+BS94/BR94-1</f>
        <v>0.12486552001198414</v>
      </c>
      <c r="BT97" s="276">
        <f>+BT94/BS94-1</f>
        <v>3.1476997578683275E-4</v>
      </c>
      <c r="BU97" s="529"/>
      <c r="BV97" s="276">
        <f>+BV94/BT94-1</f>
        <v>-4.9722138309974739E-2</v>
      </c>
      <c r="BW97" s="276">
        <f>+BW94/BV94-1</f>
        <v>-1.3656012346374147E-2</v>
      </c>
      <c r="BX97" s="276">
        <f>+BX94/BW94-1</f>
        <v>1.4358990761679902E-2</v>
      </c>
      <c r="BY97" s="276">
        <f>+BY94/BX94-1</f>
        <v>6.3116816156139066E-4</v>
      </c>
      <c r="BZ97" s="529"/>
      <c r="CA97" s="276">
        <f>+CA94/BY94-1</f>
        <v>4.2471705762390233E-2</v>
      </c>
      <c r="CB97" s="276">
        <f>+CB94/CA94-1</f>
        <v>1.8246127900475306E-2</v>
      </c>
      <c r="CC97" s="276">
        <f>+CC94/CB94-1</f>
        <v>3.0834731744022736E-2</v>
      </c>
      <c r="CD97" s="276">
        <f>+CD94/CC94-1</f>
        <v>4.8254535310715108E-2</v>
      </c>
      <c r="CE97" s="529"/>
    </row>
    <row r="98" spans="1:83" s="121" customFormat="1" ht="12.75">
      <c r="B98" s="273" t="s">
        <v>237</v>
      </c>
      <c r="C98" s="275"/>
      <c r="D98" s="276">
        <f>+D94/D100</f>
        <v>0.10834788353546317</v>
      </c>
      <c r="E98" s="276">
        <f t="shared" ref="E98:AL98" si="489">+E94/E100</f>
        <v>0.11095087877422262</v>
      </c>
      <c r="F98" s="276">
        <f t="shared" si="489"/>
        <v>0.19668976135488839</v>
      </c>
      <c r="G98" s="276">
        <f t="shared" si="489"/>
        <v>0.18011112462992254</v>
      </c>
      <c r="H98" s="276">
        <f t="shared" si="489"/>
        <v>0.15092977466637497</v>
      </c>
      <c r="I98" s="276">
        <f t="shared" si="489"/>
        <v>0.11232568420206566</v>
      </c>
      <c r="J98" s="276">
        <f t="shared" si="489"/>
        <v>0.17021033813852648</v>
      </c>
      <c r="K98" s="276">
        <f t="shared" si="489"/>
        <v>0.11899527910915708</v>
      </c>
      <c r="L98" s="276">
        <f t="shared" si="489"/>
        <v>0.23606184785977469</v>
      </c>
      <c r="M98" s="276">
        <f t="shared" si="489"/>
        <v>0.16141790630036493</v>
      </c>
      <c r="N98" s="276">
        <f t="shared" si="489"/>
        <v>0.15384108578205297</v>
      </c>
      <c r="O98" s="276">
        <f t="shared" si="489"/>
        <v>0.22435143334778032</v>
      </c>
      <c r="P98" s="276">
        <f t="shared" si="489"/>
        <v>0.26333410970071036</v>
      </c>
      <c r="Q98" s="276">
        <f t="shared" si="489"/>
        <v>0.29341317365269459</v>
      </c>
      <c r="R98" s="529">
        <f t="shared" si="489"/>
        <v>0.23726034780916161</v>
      </c>
      <c r="S98" s="276">
        <f t="shared" si="489"/>
        <v>0.31944629664203983</v>
      </c>
      <c r="T98" s="276">
        <f t="shared" si="489"/>
        <v>0.32846001454472501</v>
      </c>
      <c r="U98" s="276">
        <f t="shared" si="489"/>
        <v>0.35642468624172924</v>
      </c>
      <c r="V98" s="276">
        <f t="shared" si="489"/>
        <v>0.37007537405782426</v>
      </c>
      <c r="W98" s="529">
        <f t="shared" si="489"/>
        <v>0.34489055537970831</v>
      </c>
      <c r="X98" s="276">
        <f t="shared" si="489"/>
        <v>0.3487285936689154</v>
      </c>
      <c r="Y98" s="276">
        <f t="shared" si="489"/>
        <v>0.32484628399290222</v>
      </c>
      <c r="Z98" s="276">
        <f t="shared" si="489"/>
        <v>0.34569596171573147</v>
      </c>
      <c r="AA98" s="276">
        <f t="shared" si="489"/>
        <v>0.35363051470588236</v>
      </c>
      <c r="AB98" s="529">
        <f t="shared" si="489"/>
        <v>0.34339269925476823</v>
      </c>
      <c r="AC98" s="276">
        <f t="shared" si="489"/>
        <v>0.31640970614258013</v>
      </c>
      <c r="AD98" s="276">
        <f t="shared" si="489"/>
        <v>0.36922715272503709</v>
      </c>
      <c r="AE98" s="276">
        <f t="shared" si="489"/>
        <v>0.40112623970415195</v>
      </c>
      <c r="AF98" s="276">
        <f t="shared" si="489"/>
        <v>0.37895573392672655</v>
      </c>
      <c r="AG98" s="529">
        <f t="shared" si="489"/>
        <v>0.36794496334933369</v>
      </c>
      <c r="AH98" s="276">
        <f t="shared" si="489"/>
        <v>0.37945066124109866</v>
      </c>
      <c r="AI98" s="276">
        <f t="shared" si="489"/>
        <v>0.39226446378002433</v>
      </c>
      <c r="AJ98" s="276">
        <f t="shared" si="489"/>
        <v>0.44500265148343521</v>
      </c>
      <c r="AK98" s="276">
        <f t="shared" si="489"/>
        <v>0.39273584905660375</v>
      </c>
      <c r="AL98" s="529">
        <f t="shared" si="489"/>
        <v>0.40295960041450185</v>
      </c>
      <c r="AM98" s="276">
        <f t="shared" ref="AM98:AQ98" si="490">+AM94/AM100</f>
        <v>0.40647439045432221</v>
      </c>
      <c r="AN98" s="276">
        <f t="shared" si="490"/>
        <v>0.42286105233817733</v>
      </c>
      <c r="AO98" s="276">
        <f t="shared" si="490"/>
        <v>0.46701987395821992</v>
      </c>
      <c r="AP98" s="276">
        <f t="shared" si="490"/>
        <v>0.44380137957101012</v>
      </c>
      <c r="AQ98" s="529">
        <f t="shared" si="490"/>
        <v>0.43406704456059725</v>
      </c>
      <c r="AR98" s="276">
        <f t="shared" ref="AR98:AV98" si="491">+AR94/AR100</f>
        <v>0.44254199367051922</v>
      </c>
      <c r="AS98" s="276">
        <f t="shared" si="491"/>
        <v>0.48224698862996734</v>
      </c>
      <c r="AT98" s="276">
        <f t="shared" si="491"/>
        <v>0.48495202484178407</v>
      </c>
      <c r="AU98" s="276">
        <f t="shared" si="491"/>
        <v>0.45765340028058776</v>
      </c>
      <c r="AV98" s="529">
        <f t="shared" si="491"/>
        <v>0.46699801357163129</v>
      </c>
      <c r="AW98" s="276">
        <f t="shared" ref="AW98:BA98" si="492">+AW94/AW100</f>
        <v>0.46069494398280209</v>
      </c>
      <c r="AX98" s="276">
        <f t="shared" si="492"/>
        <v>0.4684559988766524</v>
      </c>
      <c r="AY98" s="276">
        <f t="shared" si="492"/>
        <v>0.47956810947833878</v>
      </c>
      <c r="AZ98" s="276">
        <f t="shared" si="492"/>
        <v>0.45140280561122242</v>
      </c>
      <c r="BA98" s="529">
        <f t="shared" si="492"/>
        <v>0.46491249404142304</v>
      </c>
      <c r="BB98" s="276">
        <f t="shared" ref="BB98:BF98" si="493">+BB94/BB100</f>
        <v>0.47841650502556871</v>
      </c>
      <c r="BC98" s="276">
        <f t="shared" si="493"/>
        <v>0.45360446398038251</v>
      </c>
      <c r="BD98" s="276">
        <f t="shared" si="493"/>
        <v>0.43690317853473609</v>
      </c>
      <c r="BE98" s="276">
        <f t="shared" si="493"/>
        <v>0.4208973702512056</v>
      </c>
      <c r="BF98" s="529">
        <f t="shared" si="493"/>
        <v>0.44632782205450838</v>
      </c>
      <c r="BG98" s="276">
        <f t="shared" ref="BG98:BK98" si="494">+BG94/BG100</f>
        <v>0.44883420184721806</v>
      </c>
      <c r="BH98" s="276">
        <f t="shared" si="494"/>
        <v>0.47980817584852303</v>
      </c>
      <c r="BI98" s="276">
        <f t="shared" si="494"/>
        <v>0.48459815769458292</v>
      </c>
      <c r="BJ98" s="276">
        <f t="shared" si="494"/>
        <v>0.4554126028913329</v>
      </c>
      <c r="BK98" s="529">
        <f t="shared" si="494"/>
        <v>0.46737354317189039</v>
      </c>
      <c r="BL98" s="276">
        <f t="shared" ref="BL98:BP98" si="495">+BL94/BL100</f>
        <v>0.4734474126401701</v>
      </c>
      <c r="BM98" s="276">
        <f t="shared" si="495"/>
        <v>0.47027732200016137</v>
      </c>
      <c r="BN98" s="276">
        <f t="shared" si="495"/>
        <v>0.45287163589333645</v>
      </c>
      <c r="BO98" s="276">
        <f t="shared" si="495"/>
        <v>0.46607534345534607</v>
      </c>
      <c r="BP98" s="529">
        <f t="shared" si="495"/>
        <v>0.46552913157474601</v>
      </c>
      <c r="BQ98" s="276">
        <f t="shared" ref="BQ98:BU98" si="496">+BQ94/BQ100</f>
        <v>0.46749510628584295</v>
      </c>
      <c r="BR98" s="276">
        <f t="shared" si="496"/>
        <v>0.44758079262717754</v>
      </c>
      <c r="BS98" s="276">
        <f t="shared" si="496"/>
        <v>0.48621984671713309</v>
      </c>
      <c r="BT98" s="276">
        <f>+BT94/BT100</f>
        <v>0.47138896178729134</v>
      </c>
      <c r="BU98" s="529">
        <f t="shared" si="496"/>
        <v>0.46838632542499531</v>
      </c>
      <c r="BV98" s="276">
        <f t="shared" ref="BV98:BZ98" si="497">+BV94/BV100</f>
        <v>0.45257634895852905</v>
      </c>
      <c r="BW98" s="276">
        <f t="shared" si="497"/>
        <v>0.43708307024822834</v>
      </c>
      <c r="BX98" s="276">
        <f t="shared" si="497"/>
        <v>0.43016155707545833</v>
      </c>
      <c r="BY98" s="276">
        <f t="shared" si="497"/>
        <v>0.41912189952875145</v>
      </c>
      <c r="BZ98" s="529">
        <f t="shared" si="497"/>
        <v>0.43438523311777011</v>
      </c>
      <c r="CA98" s="276">
        <f t="shared" ref="CA98:CE98" si="498">+CA94/CA100</f>
        <v>0.43734733695989503</v>
      </c>
      <c r="CB98" s="276">
        <f t="shared" si="498"/>
        <v>0.44011174691019733</v>
      </c>
      <c r="CC98" s="276">
        <f t="shared" si="498"/>
        <v>0.44433021113924781</v>
      </c>
      <c r="CD98" s="276">
        <f t="shared" si="498"/>
        <v>0.45353136279166473</v>
      </c>
      <c r="CE98" s="529">
        <f t="shared" si="498"/>
        <v>0.44396766383007036</v>
      </c>
    </row>
    <row r="99" spans="1:83" s="121" customFormat="1" ht="12.75">
      <c r="B99" s="273"/>
      <c r="C99" s="275"/>
      <c r="D99" s="276"/>
      <c r="E99" s="276"/>
      <c r="F99" s="276"/>
      <c r="G99" s="276"/>
      <c r="H99" s="276"/>
      <c r="I99" s="276"/>
      <c r="J99" s="276"/>
      <c r="K99" s="276"/>
      <c r="L99" s="276"/>
      <c r="M99" s="276"/>
      <c r="N99" s="276"/>
      <c r="O99" s="276"/>
      <c r="P99" s="276"/>
      <c r="Q99" s="276"/>
      <c r="R99" s="529"/>
      <c r="S99" s="276"/>
      <c r="T99" s="276"/>
      <c r="U99" s="276"/>
      <c r="V99" s="276"/>
      <c r="W99" s="529"/>
      <c r="X99" s="276"/>
      <c r="Y99" s="276"/>
      <c r="Z99" s="276"/>
      <c r="AA99" s="276"/>
      <c r="AB99" s="529"/>
      <c r="AC99" s="276"/>
      <c r="AD99" s="276"/>
      <c r="AE99" s="276"/>
      <c r="AF99" s="276"/>
      <c r="AG99" s="529"/>
      <c r="AH99" s="276"/>
      <c r="AI99" s="276"/>
      <c r="AJ99" s="276"/>
      <c r="AK99" s="276"/>
      <c r="AL99" s="529"/>
      <c r="AM99" s="276"/>
      <c r="AN99" s="276"/>
      <c r="AO99" s="276"/>
      <c r="AP99" s="276"/>
      <c r="AQ99" s="529"/>
      <c r="AR99" s="276"/>
      <c r="AS99" s="276"/>
      <c r="AT99" s="276"/>
      <c r="AU99" s="276"/>
      <c r="AV99" s="529"/>
      <c r="AW99" s="276"/>
      <c r="AX99" s="276"/>
      <c r="AY99" s="276"/>
      <c r="AZ99" s="276"/>
      <c r="BA99" s="529"/>
      <c r="BB99" s="276"/>
      <c r="BC99" s="276"/>
      <c r="BD99" s="276"/>
      <c r="BE99" s="276"/>
      <c r="BF99" s="529"/>
      <c r="BG99" s="276"/>
      <c r="BH99" s="276"/>
      <c r="BI99" s="276"/>
      <c r="BJ99" s="276"/>
      <c r="BK99" s="529"/>
      <c r="BL99" s="276"/>
      <c r="BM99" s="276"/>
      <c r="BN99" s="276"/>
      <c r="BO99" s="276"/>
      <c r="BP99" s="529"/>
      <c r="BQ99" s="276"/>
      <c r="BR99" s="276"/>
      <c r="BS99" s="276"/>
      <c r="BT99" s="276"/>
      <c r="BU99" s="529"/>
      <c r="BV99" s="276"/>
      <c r="BW99" s="276"/>
      <c r="BX99" s="276"/>
      <c r="BY99" s="276"/>
      <c r="BZ99" s="529"/>
      <c r="CA99" s="276"/>
      <c r="CB99" s="276"/>
      <c r="CC99" s="276"/>
      <c r="CD99" s="276"/>
      <c r="CE99" s="529"/>
    </row>
    <row r="100" spans="1:83" s="121" customFormat="1" ht="12.75">
      <c r="B100" s="273" t="s">
        <v>3</v>
      </c>
      <c r="C100" s="275"/>
      <c r="D100" s="305">
        <f>+IS!D9</f>
        <v>21191</v>
      </c>
      <c r="E100" s="305">
        <f>+IS!E9</f>
        <v>22190</v>
      </c>
      <c r="F100" s="305">
        <f>+IS!F9</f>
        <v>23382</v>
      </c>
      <c r="G100" s="305">
        <f>+IS!G9</f>
        <v>24657</v>
      </c>
      <c r="H100" s="305">
        <f>+IS!H9</f>
        <v>91420</v>
      </c>
      <c r="I100" s="305">
        <f>+IS!I9</f>
        <v>24883</v>
      </c>
      <c r="J100" s="305">
        <f>+IS!J9</f>
        <v>26291</v>
      </c>
      <c r="K100" s="305">
        <f>+IS!K9</f>
        <v>27749</v>
      </c>
      <c r="L100" s="305">
        <f>+IS!L9</f>
        <v>29039.000000000011</v>
      </c>
      <c r="M100" s="305">
        <f>+IS!M9</f>
        <v>107962.00000000001</v>
      </c>
      <c r="N100" s="305">
        <f>+IS!N9</f>
        <v>30356</v>
      </c>
      <c r="O100" s="305">
        <f>+IS!O9</f>
        <v>32302</v>
      </c>
      <c r="P100" s="305">
        <f>+IS!P9</f>
        <v>34348</v>
      </c>
      <c r="Q100" s="305">
        <f>+IS!Q9</f>
        <v>36573</v>
      </c>
      <c r="R100" s="546">
        <f>+IS!R9</f>
        <v>133579</v>
      </c>
      <c r="S100" s="305">
        <f>+IS!S9</f>
        <v>37493</v>
      </c>
      <c r="T100" s="305">
        <f>+IS!T9</f>
        <v>39877</v>
      </c>
      <c r="U100" s="305">
        <f>+IS!U9</f>
        <v>42469</v>
      </c>
      <c r="V100" s="305">
        <f>+IS!V9</f>
        <v>44445</v>
      </c>
      <c r="W100" s="546">
        <f>+IS!W9</f>
        <v>164284</v>
      </c>
      <c r="X100" s="305">
        <f>+IS!X9</f>
        <v>46248</v>
      </c>
      <c r="Y100" s="305">
        <f>+IS!Y9</f>
        <v>48466</v>
      </c>
      <c r="Z100" s="305">
        <f>+IS!Z9</f>
        <v>50987</v>
      </c>
      <c r="AA100" s="305">
        <f>+IS!AA9</f>
        <v>52224</v>
      </c>
      <c r="AB100" s="546">
        <f>+IS!AB9</f>
        <v>197925</v>
      </c>
      <c r="AC100" s="305">
        <f>+IS!AC9</f>
        <v>53121</v>
      </c>
      <c r="AD100" s="305">
        <f>+IS!AD9</f>
        <v>55302</v>
      </c>
      <c r="AE100" s="305">
        <f>+IS!AE9</f>
        <v>59490</v>
      </c>
      <c r="AF100" s="305">
        <f>+IS!AF9</f>
        <v>62915</v>
      </c>
      <c r="AG100" s="546">
        <f>+IS!AG9</f>
        <v>230828</v>
      </c>
      <c r="AH100" s="305">
        <f>+IS!AH9</f>
        <v>64878</v>
      </c>
      <c r="AI100" s="305">
        <f>+IS!AI9</f>
        <v>68153</v>
      </c>
      <c r="AJ100" s="305">
        <f>+IS!AJ9</f>
        <v>71658</v>
      </c>
      <c r="AK100" s="305">
        <f>+IS!AK9</f>
        <v>74200</v>
      </c>
      <c r="AL100" s="546">
        <f>+IS!AL9</f>
        <v>278889</v>
      </c>
      <c r="AM100" s="305">
        <f>+IS!AM9</f>
        <v>75343</v>
      </c>
      <c r="AN100" s="305">
        <f>+IS!AN9</f>
        <v>78929</v>
      </c>
      <c r="AO100" s="305">
        <f>+IS!AO9</f>
        <v>82671</v>
      </c>
      <c r="AP100" s="305">
        <f>+IS!AP9</f>
        <v>84664</v>
      </c>
      <c r="AQ100" s="546">
        <f>+IS!AQ9</f>
        <v>321607</v>
      </c>
      <c r="AR100" s="305">
        <f>+IS!AR9</f>
        <v>86263</v>
      </c>
      <c r="AS100" s="305">
        <f>+IS!AS9</f>
        <v>88830</v>
      </c>
      <c r="AT100" s="305">
        <f>+IS!AT9</f>
        <v>93069</v>
      </c>
      <c r="AU100" s="305">
        <f>+IS!AU9</f>
        <v>94801</v>
      </c>
      <c r="AV100" s="546">
        <f>+IS!AV9</f>
        <v>362963</v>
      </c>
      <c r="AW100" s="305">
        <f>+IS!AW9</f>
        <v>96756</v>
      </c>
      <c r="AX100" s="305">
        <f>+IS!AX9</f>
        <v>99702</v>
      </c>
      <c r="AY100" s="305">
        <f>+IS!AY9</f>
        <v>104934</v>
      </c>
      <c r="AZ100" s="305">
        <f>+IS!AZ9</f>
        <v>109780</v>
      </c>
      <c r="BA100" s="546">
        <f>+IS!BA9</f>
        <v>411172</v>
      </c>
      <c r="BB100" s="305">
        <f>+IS!BB9</f>
        <v>113420</v>
      </c>
      <c r="BC100" s="305">
        <f>+IS!BC9</f>
        <v>119893</v>
      </c>
      <c r="BD100" s="305">
        <f>+IS!BD9</f>
        <v>125561</v>
      </c>
      <c r="BE100" s="305">
        <f>+IS!BE9</f>
        <v>130849</v>
      </c>
      <c r="BF100" s="546">
        <f>+IS!BF9</f>
        <v>489723</v>
      </c>
      <c r="BG100" s="305">
        <f>+IS!BG9</f>
        <v>130683</v>
      </c>
      <c r="BH100" s="305">
        <f>+IS!BH9</f>
        <v>137209</v>
      </c>
      <c r="BI100" s="305">
        <f>+IS!BI9</f>
        <v>141996</v>
      </c>
      <c r="BJ100" s="305">
        <f>+IS!BJ9</f>
        <v>144570</v>
      </c>
      <c r="BK100" s="546">
        <f>+IS!BK9</f>
        <v>554458</v>
      </c>
      <c r="BL100" s="305">
        <f>+IS!BL9</f>
        <v>145805</v>
      </c>
      <c r="BM100" s="305">
        <f>+IS!BM9</f>
        <v>148708</v>
      </c>
      <c r="BN100" s="305">
        <f>+IS!BN9</f>
        <v>153867</v>
      </c>
      <c r="BO100" s="305">
        <f>+IS!BO9</f>
        <v>159191</v>
      </c>
      <c r="BP100" s="546">
        <f>+IS!BP9</f>
        <v>607571</v>
      </c>
      <c r="BQ100" s="305">
        <f>+IS!BQ9</f>
        <v>159899</v>
      </c>
      <c r="BR100" s="305">
        <f>+IS!BR9</f>
        <v>164062</v>
      </c>
      <c r="BS100" s="305">
        <f>+IS!BS9</f>
        <v>169882</v>
      </c>
      <c r="BT100" s="305">
        <f>+IS!BT9</f>
        <v>175282</v>
      </c>
      <c r="BU100" s="546">
        <f>+IS!BU9</f>
        <v>669125</v>
      </c>
      <c r="BV100" s="305">
        <f>+IS!BV9</f>
        <v>173490.41500000001</v>
      </c>
      <c r="BW100" s="305">
        <f>+IS!BW9</f>
        <v>177186.96000000002</v>
      </c>
      <c r="BX100" s="305">
        <f>+IS!BX9</f>
        <v>182623.15</v>
      </c>
      <c r="BY100" s="305">
        <f>+IS!BY9</f>
        <v>187551.74000000002</v>
      </c>
      <c r="BZ100" s="546">
        <f>+IS!BZ9</f>
        <v>720852.26500000013</v>
      </c>
      <c r="CA100" s="305">
        <f>+IS!CA9</f>
        <v>187369.64820000003</v>
      </c>
      <c r="CB100" s="305">
        <f>+IS!CB9</f>
        <v>189590.04720000003</v>
      </c>
      <c r="CC100" s="305">
        <f>+IS!CC9</f>
        <v>193580.53899999999</v>
      </c>
      <c r="CD100" s="305">
        <f>+IS!CD9</f>
        <v>198804.84440000003</v>
      </c>
      <c r="CE100" s="546">
        <f>+IS!CE9</f>
        <v>769345.07880000013</v>
      </c>
    </row>
    <row r="101" spans="1:83" s="121" customFormat="1" ht="12.75">
      <c r="B101" s="273"/>
      <c r="C101" s="275"/>
      <c r="D101" s="305"/>
      <c r="E101" s="305"/>
      <c r="F101" s="305"/>
      <c r="G101" s="305"/>
      <c r="H101" s="305"/>
      <c r="I101" s="305"/>
      <c r="J101" s="305"/>
      <c r="K101" s="305"/>
      <c r="L101" s="305"/>
      <c r="M101" s="305"/>
      <c r="N101" s="305"/>
      <c r="O101" s="305"/>
      <c r="P101" s="305"/>
      <c r="Q101" s="305"/>
      <c r="R101" s="305"/>
      <c r="S101" s="305"/>
      <c r="T101" s="305"/>
      <c r="U101" s="305"/>
      <c r="V101" s="305"/>
      <c r="W101" s="305"/>
      <c r="X101" s="305"/>
      <c r="Y101" s="305"/>
      <c r="Z101" s="305"/>
      <c r="AA101" s="305"/>
      <c r="AB101" s="305"/>
      <c r="AC101" s="305"/>
      <c r="AD101" s="305"/>
      <c r="AE101" s="305"/>
      <c r="AF101" s="305"/>
      <c r="AG101" s="305"/>
      <c r="AH101" s="305"/>
      <c r="AI101" s="305"/>
      <c r="AJ101" s="305"/>
      <c r="AK101" s="305"/>
      <c r="AL101" s="305"/>
      <c r="AM101" s="305"/>
      <c r="AN101" s="305"/>
      <c r="AO101" s="305"/>
      <c r="AP101" s="305"/>
      <c r="AQ101" s="305"/>
      <c r="AR101" s="305"/>
      <c r="AS101" s="305"/>
      <c r="AT101" s="305"/>
      <c r="AU101" s="305"/>
      <c r="AV101" s="305"/>
      <c r="AW101" s="305"/>
      <c r="AX101" s="305"/>
      <c r="AY101" s="305"/>
      <c r="AZ101" s="305"/>
      <c r="BA101" s="305"/>
      <c r="BB101" s="305"/>
      <c r="BC101" s="305"/>
      <c r="BD101" s="305"/>
      <c r="BE101" s="305"/>
      <c r="BF101" s="305"/>
      <c r="BG101" s="305"/>
      <c r="BH101" s="305"/>
      <c r="BI101" s="305"/>
      <c r="BJ101" s="305"/>
      <c r="BK101" s="305"/>
      <c r="BL101" s="305"/>
      <c r="BM101" s="305"/>
      <c r="BN101" s="305"/>
      <c r="BO101" s="305"/>
      <c r="BP101" s="305"/>
      <c r="BQ101" s="305"/>
      <c r="BR101" s="305"/>
      <c r="BS101" s="305"/>
      <c r="BT101" s="305"/>
      <c r="BU101" s="305"/>
      <c r="BV101" s="305"/>
      <c r="BW101" s="305"/>
      <c r="BX101" s="305"/>
      <c r="BY101" s="305"/>
      <c r="BZ101" s="305"/>
      <c r="CA101" s="305"/>
      <c r="CB101" s="305"/>
      <c r="CC101" s="305"/>
      <c r="CD101" s="305"/>
      <c r="CE101" s="305"/>
    </row>
    <row r="102" spans="1:83" s="121" customFormat="1" ht="13.15">
      <c r="B102" s="274"/>
      <c r="C102" s="275"/>
      <c r="D102" s="276"/>
      <c r="E102" s="276"/>
      <c r="F102" s="276"/>
      <c r="G102" s="276"/>
      <c r="H102" s="276"/>
      <c r="I102" s="276"/>
      <c r="J102" s="276"/>
      <c r="K102" s="276"/>
      <c r="L102" s="276"/>
      <c r="M102" s="276"/>
      <c r="N102" s="276"/>
      <c r="O102" s="276"/>
      <c r="P102" s="276"/>
      <c r="Q102" s="276"/>
      <c r="R102" s="276"/>
      <c r="S102" s="276"/>
      <c r="T102" s="276"/>
      <c r="U102" s="276"/>
      <c r="V102" s="276"/>
      <c r="W102" s="276"/>
      <c r="X102" s="276"/>
      <c r="Y102" s="276"/>
      <c r="Z102" s="276"/>
      <c r="AA102" s="276"/>
      <c r="AB102" s="276"/>
      <c r="AC102" s="276"/>
      <c r="AD102" s="276"/>
      <c r="AE102" s="276"/>
      <c r="AF102" s="276"/>
      <c r="AG102" s="276"/>
      <c r="AH102" s="276"/>
      <c r="AI102" s="276"/>
      <c r="AJ102" s="276"/>
      <c r="AK102" s="276"/>
      <c r="AL102" s="276"/>
      <c r="AM102" s="276"/>
      <c r="AN102" s="276"/>
      <c r="AO102" s="276"/>
      <c r="AP102" s="276"/>
      <c r="AQ102" s="276"/>
      <c r="AR102" s="276"/>
      <c r="AS102" s="276"/>
      <c r="AT102" s="276"/>
      <c r="AU102" s="276"/>
      <c r="AV102" s="276"/>
      <c r="AW102" s="276"/>
      <c r="AX102" s="276"/>
      <c r="AY102" s="276"/>
      <c r="AZ102" s="276"/>
      <c r="BA102" s="276"/>
      <c r="BB102" s="276"/>
      <c r="BC102" s="697"/>
      <c r="BD102" s="276"/>
      <c r="BE102" s="276"/>
      <c r="BF102" s="276"/>
      <c r="BG102" s="276"/>
      <c r="BH102" s="276"/>
      <c r="BI102" s="276"/>
      <c r="BJ102" s="276"/>
      <c r="BK102" s="276"/>
      <c r="BL102" s="276"/>
      <c r="BM102" s="276"/>
      <c r="BN102" s="276"/>
      <c r="BO102" s="276"/>
      <c r="BP102" s="276"/>
      <c r="BQ102" s="276"/>
      <c r="BR102" s="276"/>
      <c r="BS102" s="276"/>
      <c r="BT102" s="276"/>
      <c r="BU102" s="276"/>
      <c r="BV102" s="276"/>
      <c r="BW102" s="276"/>
      <c r="BX102" s="276"/>
      <c r="BY102" s="276"/>
      <c r="BZ102" s="276"/>
      <c r="CA102" s="276"/>
      <c r="CB102" s="276"/>
      <c r="CC102" s="276"/>
      <c r="CD102" s="276"/>
      <c r="CE102" s="276"/>
    </row>
    <row r="103" spans="1:83" s="121" customFormat="1" ht="13.15" thickBot="1">
      <c r="B103" s="197" t="s">
        <v>167</v>
      </c>
      <c r="C103" s="284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5"/>
      <c r="P103" s="285"/>
      <c r="Q103" s="285"/>
      <c r="R103" s="285"/>
      <c r="S103" s="285"/>
      <c r="T103" s="285"/>
      <c r="U103" s="285"/>
      <c r="V103" s="285"/>
      <c r="W103" s="285"/>
      <c r="X103" s="285"/>
      <c r="Y103" s="285"/>
      <c r="Z103" s="285"/>
      <c r="AA103" s="285"/>
      <c r="AB103" s="285"/>
      <c r="AC103" s="285"/>
      <c r="AD103" s="285"/>
      <c r="AE103" s="285"/>
      <c r="AF103" s="285"/>
      <c r="AG103" s="285"/>
      <c r="AH103" s="285"/>
      <c r="AI103" s="285"/>
      <c r="AJ103" s="285"/>
      <c r="AK103" s="285"/>
      <c r="AL103" s="285"/>
      <c r="AM103" s="285"/>
      <c r="AN103" s="285"/>
      <c r="AO103" s="285"/>
      <c r="AP103" s="285"/>
      <c r="AQ103" s="285"/>
      <c r="AR103" s="285"/>
      <c r="AS103" s="285"/>
      <c r="AT103" s="285"/>
      <c r="AU103" s="285"/>
      <c r="AV103" s="285"/>
      <c r="AW103" s="285"/>
      <c r="AX103" s="285"/>
      <c r="AY103" s="285"/>
      <c r="AZ103" s="285"/>
      <c r="BA103" s="285"/>
      <c r="BB103" s="285"/>
      <c r="BC103" s="285"/>
      <c r="BD103" s="285"/>
      <c r="BE103" s="285"/>
      <c r="BF103" s="285"/>
      <c r="BG103" s="285"/>
      <c r="BH103" s="285"/>
      <c r="BI103" s="285"/>
      <c r="BJ103" s="285"/>
      <c r="BK103" s="285"/>
      <c r="BL103" s="285"/>
      <c r="BM103" s="285"/>
      <c r="BN103" s="285"/>
      <c r="BO103" s="285"/>
      <c r="BP103" s="285"/>
      <c r="BQ103" s="285"/>
      <c r="BR103" s="285"/>
      <c r="BS103" s="285"/>
      <c r="BT103" s="285"/>
      <c r="BU103" s="285"/>
      <c r="BV103" s="285"/>
      <c r="BW103" s="285"/>
      <c r="BX103" s="285"/>
      <c r="BY103" s="285"/>
      <c r="BZ103" s="285"/>
      <c r="CA103" s="285"/>
      <c r="CB103" s="285"/>
      <c r="CC103" s="285"/>
      <c r="CD103" s="285"/>
      <c r="CE103" s="285"/>
    </row>
    <row r="104" spans="1:83" s="121" customFormat="1" ht="12.75">
      <c r="B104" s="654"/>
      <c r="C104" s="654"/>
      <c r="D104" s="655"/>
      <c r="E104" s="655"/>
      <c r="F104" s="655"/>
      <c r="G104" s="655"/>
      <c r="H104" s="655"/>
      <c r="I104" s="655"/>
      <c r="J104" s="655"/>
      <c r="K104" s="655"/>
      <c r="L104" s="655"/>
      <c r="M104" s="655"/>
      <c r="N104" s="655"/>
      <c r="O104" s="655"/>
      <c r="P104" s="655"/>
      <c r="Q104" s="655"/>
      <c r="R104" s="655"/>
      <c r="S104" s="655"/>
      <c r="T104" s="655"/>
      <c r="U104" s="655"/>
      <c r="V104" s="655"/>
      <c r="W104" s="655"/>
      <c r="X104" s="655"/>
      <c r="Y104" s="655"/>
      <c r="Z104" s="655"/>
      <c r="AA104" s="655"/>
      <c r="AB104" s="655"/>
      <c r="AC104" s="655"/>
      <c r="AD104" s="655"/>
      <c r="AE104" s="655"/>
      <c r="AF104" s="655"/>
      <c r="AG104" s="655"/>
      <c r="AH104" s="655"/>
      <c r="AI104" s="655"/>
      <c r="AJ104" s="655"/>
      <c r="AK104" s="655"/>
      <c r="AL104" s="655"/>
      <c r="AM104" s="655"/>
      <c r="AN104" s="655"/>
      <c r="AO104" s="655"/>
      <c r="AP104" s="655"/>
      <c r="AQ104" s="655"/>
      <c r="AR104" s="655"/>
      <c r="AS104" s="655"/>
      <c r="AT104" s="655"/>
      <c r="AU104" s="655"/>
      <c r="AV104" s="655"/>
      <c r="AW104" s="655"/>
      <c r="AX104" s="655"/>
      <c r="AY104" s="655"/>
      <c r="AZ104" s="655"/>
      <c r="BA104" s="655"/>
      <c r="BB104" s="655"/>
      <c r="BC104" s="655"/>
      <c r="BD104" s="655"/>
      <c r="BE104" s="655"/>
      <c r="BF104" s="655"/>
      <c r="BG104" s="655"/>
      <c r="BH104" s="655"/>
      <c r="BI104" s="655"/>
      <c r="BJ104" s="655"/>
      <c r="BK104" s="655"/>
      <c r="BL104" s="655"/>
      <c r="BM104" s="655"/>
      <c r="BN104" s="655"/>
      <c r="BO104" s="655"/>
      <c r="BP104" s="655"/>
      <c r="BQ104" s="655"/>
      <c r="BR104" s="655"/>
      <c r="BS104" s="655"/>
      <c r="BT104" s="655"/>
      <c r="BU104" s="655"/>
      <c r="BV104" s="655"/>
      <c r="BW104" s="655"/>
      <c r="BX104" s="655"/>
      <c r="BY104" s="655"/>
      <c r="BZ104" s="655"/>
      <c r="CA104" s="655"/>
      <c r="CB104" s="655"/>
      <c r="CC104" s="655"/>
      <c r="CD104" s="655"/>
      <c r="CE104" s="655"/>
    </row>
    <row r="105" spans="1:83" ht="14.65" thickBot="1">
      <c r="B105" s="364"/>
      <c r="C105" s="364"/>
      <c r="D105" s="365"/>
      <c r="E105" s="365"/>
      <c r="F105" s="365"/>
      <c r="G105" s="365"/>
      <c r="H105" s="365"/>
      <c r="I105" s="365"/>
      <c r="J105" s="365"/>
      <c r="K105" s="365"/>
      <c r="L105" s="365"/>
      <c r="M105" s="365"/>
      <c r="N105" s="365"/>
      <c r="O105" s="365"/>
      <c r="P105" s="365"/>
      <c r="Q105" s="365"/>
      <c r="R105" s="603"/>
      <c r="S105" s="365"/>
      <c r="T105" s="365"/>
      <c r="U105" s="365"/>
      <c r="V105" s="365"/>
      <c r="W105" s="603"/>
      <c r="X105" s="365"/>
      <c r="Y105" s="365"/>
      <c r="Z105" s="365"/>
      <c r="AA105" s="365"/>
      <c r="AB105" s="603"/>
      <c r="AC105" s="365"/>
      <c r="AD105" s="365"/>
      <c r="AE105" s="365"/>
      <c r="AF105" s="365"/>
      <c r="AG105" s="603"/>
      <c r="AH105" s="365"/>
      <c r="AI105" s="365"/>
      <c r="AJ105" s="365"/>
      <c r="AK105" s="365"/>
      <c r="AL105" s="603"/>
      <c r="AM105" s="365"/>
      <c r="AN105" s="365"/>
      <c r="AO105" s="365"/>
      <c r="AP105" s="365"/>
      <c r="AQ105" s="365"/>
      <c r="AR105" s="365"/>
      <c r="AS105" s="365"/>
      <c r="AT105" s="365"/>
      <c r="AU105" s="365"/>
      <c r="AV105" s="365"/>
      <c r="AW105" s="365"/>
      <c r="AX105" s="365"/>
      <c r="AY105" s="365"/>
      <c r="AZ105" s="365"/>
      <c r="BA105" s="365"/>
      <c r="BB105" s="365"/>
      <c r="BC105" s="365"/>
      <c r="BD105" s="365"/>
      <c r="BE105" s="365"/>
      <c r="BF105" s="365"/>
      <c r="BG105" s="365"/>
      <c r="BH105" s="365"/>
      <c r="BI105" s="365"/>
      <c r="BJ105" s="365"/>
      <c r="BK105" s="365"/>
      <c r="BL105" s="365"/>
      <c r="BM105" s="365"/>
      <c r="BN105" s="365"/>
      <c r="BO105" s="365"/>
      <c r="BP105" s="365"/>
      <c r="BQ105" s="365"/>
      <c r="BR105" s="365"/>
      <c r="BS105" s="365"/>
      <c r="BT105" s="365"/>
      <c r="BU105" s="365"/>
      <c r="BV105" s="365"/>
      <c r="BW105" s="365"/>
      <c r="BX105" s="365"/>
      <c r="BY105" s="365"/>
      <c r="BZ105" s="365"/>
      <c r="CA105" s="365"/>
      <c r="CB105" s="365"/>
      <c r="CC105" s="365"/>
      <c r="CD105" s="365"/>
      <c r="CE105" s="365"/>
    </row>
    <row r="106" spans="1:83">
      <c r="B106" s="366" t="s">
        <v>266</v>
      </c>
      <c r="C106" s="371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2"/>
      <c r="Q106" s="372"/>
      <c r="R106" s="605"/>
      <c r="S106" s="604"/>
      <c r="T106" s="604"/>
      <c r="U106" s="604"/>
      <c r="V106" s="604"/>
      <c r="W106" s="605"/>
      <c r="X106" s="604"/>
      <c r="Y106" s="604"/>
      <c r="Z106" s="604"/>
      <c r="AA106" s="604"/>
      <c r="AB106" s="605"/>
      <c r="AC106" s="604"/>
      <c r="AD106" s="604"/>
      <c r="AE106" s="604"/>
      <c r="AF106" s="604"/>
      <c r="AG106" s="605"/>
      <c r="AH106" s="604"/>
      <c r="AI106" s="604"/>
      <c r="AJ106" s="604"/>
      <c r="AK106" s="604"/>
      <c r="AL106" s="605"/>
      <c r="AM106" s="604"/>
      <c r="AN106" s="604"/>
      <c r="AO106" s="604"/>
      <c r="AP106" s="604"/>
      <c r="AQ106" s="605"/>
      <c r="AR106" s="604"/>
      <c r="AS106" s="604"/>
      <c r="AT106" s="604"/>
      <c r="AU106" s="604"/>
      <c r="AV106" s="605"/>
      <c r="AW106" s="604"/>
      <c r="AX106" s="373"/>
      <c r="AY106" s="373"/>
      <c r="AZ106" s="373"/>
      <c r="BA106" s="373"/>
      <c r="BB106" s="373"/>
      <c r="BC106" s="373"/>
      <c r="BD106" s="373"/>
      <c r="BE106" s="373"/>
      <c r="BF106" s="373"/>
      <c r="BG106" s="373"/>
      <c r="BH106" s="373"/>
      <c r="BI106" s="373"/>
      <c r="BJ106" s="373"/>
      <c r="BK106" s="373"/>
      <c r="BL106" s="373"/>
      <c r="BM106" s="373"/>
      <c r="BN106" s="373"/>
      <c r="BO106" s="373"/>
      <c r="BP106" s="373"/>
      <c r="BQ106" s="373"/>
      <c r="BR106" s="373"/>
      <c r="BS106" s="373"/>
      <c r="BT106" s="373"/>
      <c r="BU106" s="373"/>
      <c r="BV106" s="373"/>
      <c r="BW106" s="373"/>
      <c r="BX106" s="373"/>
      <c r="BY106" s="373"/>
      <c r="BZ106" s="373"/>
      <c r="CA106" s="373"/>
      <c r="CB106" s="373"/>
      <c r="CC106" s="373"/>
      <c r="CD106" s="373"/>
      <c r="CE106" s="373"/>
    </row>
    <row r="107" spans="1:83">
      <c r="B107" s="166" t="s">
        <v>3</v>
      </c>
      <c r="C107" s="166"/>
      <c r="D107" s="389">
        <f>+IS!D9</f>
        <v>21191</v>
      </c>
      <c r="E107" s="389">
        <f>+IS!E9</f>
        <v>22190</v>
      </c>
      <c r="F107" s="389">
        <f>+IS!F9</f>
        <v>23382</v>
      </c>
      <c r="G107" s="389">
        <f>+IS!G9</f>
        <v>24657</v>
      </c>
      <c r="H107" s="389">
        <f>+IS!H9</f>
        <v>91420</v>
      </c>
      <c r="I107" s="389">
        <f>+IS!I9</f>
        <v>24883</v>
      </c>
      <c r="J107" s="389">
        <f>+IS!J9</f>
        <v>26291</v>
      </c>
      <c r="K107" s="389">
        <f>+IS!K9</f>
        <v>27749</v>
      </c>
      <c r="L107" s="389">
        <f>+IS!L9</f>
        <v>29039.000000000011</v>
      </c>
      <c r="M107" s="389">
        <f>+IS!M9</f>
        <v>107962.00000000001</v>
      </c>
      <c r="N107" s="389">
        <f>+IS!N9</f>
        <v>30356</v>
      </c>
      <c r="O107" s="389">
        <f>+IS!O9</f>
        <v>32302</v>
      </c>
      <c r="P107" s="389">
        <f>+IS!P9</f>
        <v>34348</v>
      </c>
      <c r="Q107" s="389">
        <f>+IS!Q9</f>
        <v>36573</v>
      </c>
      <c r="R107" s="606">
        <f>+IS!R9</f>
        <v>133579</v>
      </c>
      <c r="S107" s="607">
        <f>+IS!S9</f>
        <v>37493</v>
      </c>
      <c r="T107" s="607">
        <f>+IS!T9</f>
        <v>39877</v>
      </c>
      <c r="U107" s="607">
        <f>+IS!U9</f>
        <v>42469</v>
      </c>
      <c r="V107" s="607">
        <f>+IS!V9</f>
        <v>44445</v>
      </c>
      <c r="W107" s="606">
        <f>+IS!W9</f>
        <v>164284</v>
      </c>
      <c r="X107" s="607">
        <f>+IS!X9</f>
        <v>46248</v>
      </c>
      <c r="Y107" s="607">
        <f>+IS!Y9</f>
        <v>48466</v>
      </c>
      <c r="Z107" s="607">
        <f>+IS!Z9</f>
        <v>50987</v>
      </c>
      <c r="AA107" s="607">
        <f>+IS!AA9</f>
        <v>52224</v>
      </c>
      <c r="AB107" s="606">
        <f>+IS!AB9</f>
        <v>197925</v>
      </c>
      <c r="AC107" s="607">
        <f>+IS!AC9</f>
        <v>53121</v>
      </c>
      <c r="AD107" s="607">
        <f>+IS!AD9</f>
        <v>55302</v>
      </c>
      <c r="AE107" s="607">
        <f>+IS!AE9</f>
        <v>59490</v>
      </c>
      <c r="AF107" s="607">
        <f>+IS!AF9</f>
        <v>62915</v>
      </c>
      <c r="AG107" s="606">
        <f>+IS!AG9</f>
        <v>230828</v>
      </c>
      <c r="AH107" s="607">
        <f>+IS!AH9</f>
        <v>64878</v>
      </c>
      <c r="AI107" s="607">
        <f>+IS!AI9</f>
        <v>68153</v>
      </c>
      <c r="AJ107" s="607">
        <f>+IS!AJ9</f>
        <v>71658</v>
      </c>
      <c r="AK107" s="607">
        <f>+IS!AK9</f>
        <v>74200</v>
      </c>
      <c r="AL107" s="606">
        <f>+IS!AL9</f>
        <v>278889</v>
      </c>
      <c r="AM107" s="607">
        <f>+IS!AM9</f>
        <v>75343</v>
      </c>
      <c r="AN107" s="607">
        <f>+IS!AN9</f>
        <v>78929</v>
      </c>
      <c r="AO107" s="607">
        <f>+IS!AO9</f>
        <v>82671</v>
      </c>
      <c r="AP107" s="607">
        <f>+IS!AP9</f>
        <v>84664</v>
      </c>
      <c r="AQ107" s="606">
        <f>+IS!AQ9</f>
        <v>321607</v>
      </c>
      <c r="AR107" s="607">
        <f>+IS!AR9</f>
        <v>86263</v>
      </c>
      <c r="AS107" s="607">
        <f>+IS!AS9</f>
        <v>88830</v>
      </c>
      <c r="AT107" s="607">
        <f>+IS!AT9</f>
        <v>93069</v>
      </c>
      <c r="AU107" s="607">
        <f>+IS!AU9</f>
        <v>94801</v>
      </c>
      <c r="AV107" s="606">
        <f>+IS!AV9</f>
        <v>362963</v>
      </c>
      <c r="AW107" s="607">
        <f>+IS!AW9</f>
        <v>96756</v>
      </c>
      <c r="AX107" s="383">
        <f>+IS!AX9</f>
        <v>99702</v>
      </c>
      <c r="AY107" s="383">
        <f>+IS!AY9</f>
        <v>104934</v>
      </c>
      <c r="AZ107" s="383">
        <f>+IS!AZ9</f>
        <v>109780</v>
      </c>
      <c r="BA107" s="559">
        <f>+IS!BA9</f>
        <v>411172</v>
      </c>
      <c r="BB107" s="383">
        <f>+IS!BB9</f>
        <v>113420</v>
      </c>
      <c r="BC107" s="383">
        <f>+IS!BC9</f>
        <v>119893</v>
      </c>
      <c r="BD107" s="383">
        <f>+IS!BD9</f>
        <v>125561</v>
      </c>
      <c r="BE107" s="383">
        <f>+IS!BE9</f>
        <v>130849</v>
      </c>
      <c r="BF107" s="559">
        <f>+IS!BF9</f>
        <v>489723</v>
      </c>
      <c r="BG107" s="383">
        <f>+IS!BG9</f>
        <v>130683</v>
      </c>
      <c r="BH107" s="383">
        <f>+IS!BH9</f>
        <v>137209</v>
      </c>
      <c r="BI107" s="383">
        <f>+IS!BI9</f>
        <v>141996</v>
      </c>
      <c r="BJ107" s="383">
        <f>+IS!BJ9</f>
        <v>144570</v>
      </c>
      <c r="BK107" s="559">
        <f>+IS!BK9</f>
        <v>554458</v>
      </c>
      <c r="BL107" s="383">
        <f>+IS!BL9</f>
        <v>145805</v>
      </c>
      <c r="BM107" s="383">
        <f>+IS!BM9</f>
        <v>148708</v>
      </c>
      <c r="BN107" s="383">
        <f>+IS!BN9</f>
        <v>153867</v>
      </c>
      <c r="BO107" s="383">
        <f>+IS!BO9</f>
        <v>159191</v>
      </c>
      <c r="BP107" s="559">
        <f>+IS!BP9</f>
        <v>607571</v>
      </c>
      <c r="BQ107" s="383">
        <f>+IS!BQ9</f>
        <v>159899</v>
      </c>
      <c r="BR107" s="383">
        <f>+IS!BR9</f>
        <v>164062</v>
      </c>
      <c r="BS107" s="383">
        <f>+IS!BS9</f>
        <v>169882</v>
      </c>
      <c r="BT107" s="383">
        <f>+IS!BT9</f>
        <v>175282</v>
      </c>
      <c r="BU107" s="559">
        <f>+IS!BU9</f>
        <v>669125</v>
      </c>
      <c r="BV107" s="383">
        <f>+IS!BV9</f>
        <v>173490.41500000001</v>
      </c>
      <c r="BW107" s="383">
        <f>+IS!BW9</f>
        <v>177186.96000000002</v>
      </c>
      <c r="BX107" s="383">
        <f>+IS!BX9</f>
        <v>182623.15</v>
      </c>
      <c r="BY107" s="383">
        <f>+IS!BY9</f>
        <v>187551.74000000002</v>
      </c>
      <c r="BZ107" s="559">
        <f>+IS!BZ9</f>
        <v>720852.26500000013</v>
      </c>
      <c r="CA107" s="383">
        <f>+IS!CA9</f>
        <v>187369.64820000003</v>
      </c>
      <c r="CB107" s="383">
        <f>+IS!CB9</f>
        <v>189590.04720000003</v>
      </c>
      <c r="CC107" s="383">
        <f>+IS!CC9</f>
        <v>193580.53899999999</v>
      </c>
      <c r="CD107" s="383">
        <f>+IS!CD9</f>
        <v>198804.84440000003</v>
      </c>
      <c r="CE107" s="559">
        <f>+IS!CE9</f>
        <v>769345.07880000013</v>
      </c>
    </row>
    <row r="108" spans="1:83">
      <c r="B108" s="273" t="s">
        <v>128</v>
      </c>
      <c r="C108" s="166"/>
      <c r="D108" s="345"/>
      <c r="E108" s="345"/>
      <c r="F108" s="345"/>
      <c r="G108" s="345"/>
      <c r="H108" s="345"/>
      <c r="I108" s="348">
        <f t="shared" ref="I108:AW108" si="499">+I107/D107-1</f>
        <v>0.17422490680005653</v>
      </c>
      <c r="J108" s="348">
        <f t="shared" si="499"/>
        <v>0.18481297881928804</v>
      </c>
      <c r="K108" s="348">
        <f t="shared" si="499"/>
        <v>0.18676759900778372</v>
      </c>
      <c r="L108" s="348">
        <f t="shared" si="499"/>
        <v>0.17771829500750336</v>
      </c>
      <c r="M108" s="348">
        <f t="shared" si="499"/>
        <v>0.18094508860205649</v>
      </c>
      <c r="N108" s="348">
        <f t="shared" si="499"/>
        <v>0.21994936301892865</v>
      </c>
      <c r="O108" s="348">
        <f t="shared" si="499"/>
        <v>0.22863337263702399</v>
      </c>
      <c r="P108" s="348">
        <f t="shared" si="499"/>
        <v>0.23781037154492046</v>
      </c>
      <c r="Q108" s="348">
        <f t="shared" si="499"/>
        <v>0.25944419573676725</v>
      </c>
      <c r="R108" s="608">
        <f t="shared" si="499"/>
        <v>0.23727793112391371</v>
      </c>
      <c r="S108" s="609">
        <f t="shared" si="499"/>
        <v>0.23511002767163003</v>
      </c>
      <c r="T108" s="609">
        <f t="shared" si="499"/>
        <v>0.23450560336821247</v>
      </c>
      <c r="U108" s="609">
        <f t="shared" si="499"/>
        <v>0.23643298008617686</v>
      </c>
      <c r="V108" s="609">
        <f t="shared" si="499"/>
        <v>0.21524075137396448</v>
      </c>
      <c r="W108" s="608">
        <f t="shared" si="499"/>
        <v>0.22986397562491101</v>
      </c>
      <c r="X108" s="609">
        <f t="shared" si="499"/>
        <v>0.23351025524764624</v>
      </c>
      <c r="Y108" s="609">
        <f t="shared" si="499"/>
        <v>0.21538731599668992</v>
      </c>
      <c r="Z108" s="609">
        <f t="shared" si="499"/>
        <v>0.20056982740351792</v>
      </c>
      <c r="AA108" s="609">
        <f t="shared" si="499"/>
        <v>0.17502531218359763</v>
      </c>
      <c r="AB108" s="608">
        <f t="shared" si="499"/>
        <v>0.20477344111416818</v>
      </c>
      <c r="AC108" s="609">
        <f t="shared" si="499"/>
        <v>0.14861183186299942</v>
      </c>
      <c r="AD108" s="609">
        <f t="shared" si="499"/>
        <v>0.14104733215037335</v>
      </c>
      <c r="AE108" s="609">
        <f t="shared" si="499"/>
        <v>0.1667679996861946</v>
      </c>
      <c r="AF108" s="609">
        <f t="shared" si="499"/>
        <v>0.20471430759803932</v>
      </c>
      <c r="AG108" s="608">
        <f t="shared" si="499"/>
        <v>0.16623973727421992</v>
      </c>
      <c r="AH108" s="609">
        <f t="shared" si="499"/>
        <v>0.22132489975715819</v>
      </c>
      <c r="AI108" s="609">
        <f t="shared" si="499"/>
        <v>0.23237857582004273</v>
      </c>
      <c r="AJ108" s="609">
        <f t="shared" si="499"/>
        <v>0.20453857791225416</v>
      </c>
      <c r="AK108" s="609">
        <f t="shared" si="499"/>
        <v>0.17936898990701744</v>
      </c>
      <c r="AL108" s="608">
        <f t="shared" si="499"/>
        <v>0.20821130885334527</v>
      </c>
      <c r="AM108" s="609">
        <f t="shared" si="499"/>
        <v>0.16130275285921258</v>
      </c>
      <c r="AN108" s="609">
        <f t="shared" si="499"/>
        <v>0.158114829868091</v>
      </c>
      <c r="AO108" s="609">
        <f t="shared" si="499"/>
        <v>0.1536883530101314</v>
      </c>
      <c r="AP108" s="609">
        <f t="shared" si="499"/>
        <v>0.14102425876010782</v>
      </c>
      <c r="AQ108" s="608">
        <f t="shared" si="499"/>
        <v>0.15317205052906346</v>
      </c>
      <c r="AR108" s="609">
        <f t="shared" si="499"/>
        <v>0.14493715408199837</v>
      </c>
      <c r="AS108" s="609">
        <f t="shared" si="499"/>
        <v>0.12544185280441922</v>
      </c>
      <c r="AT108" s="609">
        <f t="shared" si="499"/>
        <v>0.12577566498530324</v>
      </c>
      <c r="AU108" s="609">
        <f t="shared" si="499"/>
        <v>0.11973211754700941</v>
      </c>
      <c r="AV108" s="608">
        <f t="shared" ref="AV108" si="500">+AV107/AQ107-1</f>
        <v>0.12859172841387156</v>
      </c>
      <c r="AW108" s="609">
        <f t="shared" si="499"/>
        <v>0.12163963692428958</v>
      </c>
      <c r="AX108" s="306">
        <f t="shared" ref="AX108:AZ108" si="501">+AX107/AS107-1</f>
        <v>0.12239108409321164</v>
      </c>
      <c r="AY108" s="306">
        <f t="shared" si="501"/>
        <v>0.12748605873061924</v>
      </c>
      <c r="AZ108" s="306">
        <f t="shared" si="501"/>
        <v>0.15800466239807598</v>
      </c>
      <c r="BA108" s="560">
        <f t="shared" ref="BA108" si="502">+BA107/AV107-1</f>
        <v>0.13282070073258145</v>
      </c>
      <c r="BB108" s="306">
        <f t="shared" ref="BB108" si="503">+BB107/AW107-1</f>
        <v>0.17222704535119271</v>
      </c>
      <c r="BC108" s="306">
        <f t="shared" ref="BC108" si="504">+BC107/AX107-1</f>
        <v>0.20251349020079834</v>
      </c>
      <c r="BD108" s="306">
        <f t="shared" ref="BD108" si="505">+BD107/AY107-1</f>
        <v>0.19657117807383684</v>
      </c>
      <c r="BE108" s="306">
        <f t="shared" ref="BE108" si="506">+BE107/AZ107-1</f>
        <v>0.19192020404445254</v>
      </c>
      <c r="BF108" s="560">
        <f t="shared" ref="BF108" si="507">+BF107/BA107-1</f>
        <v>0.19104170517447683</v>
      </c>
      <c r="BG108" s="306">
        <f t="shared" ref="BG108" si="508">+BG107/BB107-1</f>
        <v>0.15220419679068953</v>
      </c>
      <c r="BH108" s="306">
        <f t="shared" ref="BH108" si="509">+BH107/BC107-1</f>
        <v>0.14442878233091183</v>
      </c>
      <c r="BI108" s="306">
        <f t="shared" ref="BI108" si="510">+BI107/BD107-1</f>
        <v>0.13089255421667545</v>
      </c>
      <c r="BJ108" s="306">
        <f t="shared" ref="BJ108" si="511">+BJ107/BE107-1</f>
        <v>0.1048613287071356</v>
      </c>
      <c r="BK108" s="560">
        <f t="shared" ref="BK108" si="512">+BK107/BF107-1</f>
        <v>0.13218697100197452</v>
      </c>
      <c r="BL108" s="306">
        <f t="shared" ref="BL108" si="513">+BL107/BG107-1</f>
        <v>0.11571512744580392</v>
      </c>
      <c r="BM108" s="306">
        <f t="shared" ref="BM108" si="514">+BM107/BH107-1</f>
        <v>8.3806455844733119E-2</v>
      </c>
      <c r="BN108" s="306">
        <f t="shared" ref="BN108" si="515">+BN107/BI107-1</f>
        <v>8.3600946505535401E-2</v>
      </c>
      <c r="BO108" s="306">
        <f t="shared" ref="BO108" si="516">+BO107/BJ107-1</f>
        <v>0.1011343985612505</v>
      </c>
      <c r="BP108" s="560">
        <f t="shared" ref="BP108" si="517">+BP107/BK107-1</f>
        <v>9.5792647955300403E-2</v>
      </c>
      <c r="BQ108" s="306">
        <f t="shared" ref="BQ108" si="518">+BQ107/BL107-1</f>
        <v>9.6663351736908876E-2</v>
      </c>
      <c r="BR108" s="306">
        <f t="shared" ref="BR108" si="519">+BR107/BM107-1</f>
        <v>0.10324932081663385</v>
      </c>
      <c r="BS108" s="306">
        <f t="shared" ref="BS108" si="520">+BS107/BN107-1</f>
        <v>0.1040833966997472</v>
      </c>
      <c r="BT108" s="306">
        <f t="shared" ref="BT108" si="521">+BT107/BO107-1</f>
        <v>0.10107983491529038</v>
      </c>
      <c r="BU108" s="560">
        <f t="shared" ref="BU108" si="522">+BU107/BP107-1</f>
        <v>0.10131161625554874</v>
      </c>
      <c r="BV108" s="306">
        <f t="shared" ref="BV108" si="523">+BV107/BQ107-1</f>
        <v>8.4999999999999964E-2</v>
      </c>
      <c r="BW108" s="306">
        <f t="shared" ref="BW108" si="524">+BW107/BR107-1</f>
        <v>8.0000000000000071E-2</v>
      </c>
      <c r="BX108" s="306">
        <f t="shared" ref="BX108" si="525">+BX107/BS107-1</f>
        <v>7.4999999999999956E-2</v>
      </c>
      <c r="BY108" s="306">
        <f t="shared" ref="BY108" si="526">+BY107/BT107-1</f>
        <v>7.0000000000000062E-2</v>
      </c>
      <c r="BZ108" s="560">
        <f t="shared" ref="BZ108" si="527">+BZ107/BU107-1</f>
        <v>7.7305832243601991E-2</v>
      </c>
      <c r="CA108" s="306">
        <f t="shared" ref="CA108" si="528">+CA107/BV107-1</f>
        <v>8.0000000000000071E-2</v>
      </c>
      <c r="CB108" s="306">
        <f t="shared" ref="CB108" si="529">+CB107/BW107-1</f>
        <v>7.0000000000000062E-2</v>
      </c>
      <c r="CC108" s="306">
        <f t="shared" ref="CC108" si="530">+CC107/BX107-1</f>
        <v>6.0000000000000053E-2</v>
      </c>
      <c r="CD108" s="306">
        <f t="shared" ref="CD108" si="531">+CD107/BY107-1</f>
        <v>6.0000000000000053E-2</v>
      </c>
      <c r="CE108" s="560">
        <f t="shared" ref="CE108" si="532">+CE107/BZ107-1</f>
        <v>6.7271500908719473E-2</v>
      </c>
    </row>
    <row r="109" spans="1:83">
      <c r="B109" s="273" t="s">
        <v>129</v>
      </c>
      <c r="C109" s="166"/>
      <c r="D109" s="367"/>
      <c r="E109" s="348">
        <f>+E107/D107-1</f>
        <v>4.7142654900665271E-2</v>
      </c>
      <c r="F109" s="348">
        <f>+F107/E107-1</f>
        <v>5.3717890941865631E-2</v>
      </c>
      <c r="G109" s="348">
        <f>+G107/F107-1</f>
        <v>5.4529124967924059E-2</v>
      </c>
      <c r="H109" s="367"/>
      <c r="I109" s="348">
        <f>+I107/G107-1</f>
        <v>9.1657541468954662E-3</v>
      </c>
      <c r="J109" s="348">
        <f>+J107/I107-1</f>
        <v>5.6584816943294536E-2</v>
      </c>
      <c r="K109" s="348">
        <f>+K107/J107-1</f>
        <v>5.5456239777870842E-2</v>
      </c>
      <c r="L109" s="348">
        <f>+L107/K107-1</f>
        <v>4.6488161735558364E-2</v>
      </c>
      <c r="M109" s="367"/>
      <c r="N109" s="348">
        <f>+N107/L107-1</f>
        <v>4.5352801405006637E-2</v>
      </c>
      <c r="O109" s="348">
        <f>+O107/N107-1</f>
        <v>6.4105942811964578E-2</v>
      </c>
      <c r="P109" s="348">
        <f>+P107/O107-1</f>
        <v>6.3339731285988465E-2</v>
      </c>
      <c r="Q109" s="348">
        <f>+Q107/P107-1</f>
        <v>6.4778153022009954E-2</v>
      </c>
      <c r="R109" s="610"/>
      <c r="S109" s="609">
        <f>+S107/Q107-1</f>
        <v>2.5155169113827203E-2</v>
      </c>
      <c r="T109" s="609">
        <f>+T107/S107-1</f>
        <v>6.3585202571146526E-2</v>
      </c>
      <c r="U109" s="609">
        <f>+U107/T107-1</f>
        <v>6.4999874614439346E-2</v>
      </c>
      <c r="V109" s="609">
        <f>+V107/U107-1</f>
        <v>4.6528055758317866E-2</v>
      </c>
      <c r="W109" s="610"/>
      <c r="X109" s="609">
        <f>+X107/V107-1</f>
        <v>4.0566992912588695E-2</v>
      </c>
      <c r="Y109" s="609">
        <f>+Y107/X107-1</f>
        <v>4.7958830652136353E-2</v>
      </c>
      <c r="Z109" s="609">
        <f>+Z107/Y107-1</f>
        <v>5.2015846160194723E-2</v>
      </c>
      <c r="AA109" s="609">
        <f>+AA107/Z107-1</f>
        <v>2.426108615921696E-2</v>
      </c>
      <c r="AB109" s="610"/>
      <c r="AC109" s="609">
        <f>+AC107/AA107-1</f>
        <v>1.7176011029411686E-2</v>
      </c>
      <c r="AD109" s="609">
        <f>+AD107/AC107-1</f>
        <v>4.1057209013384499E-2</v>
      </c>
      <c r="AE109" s="609">
        <f>+AE107/AD107-1</f>
        <v>7.5729630031463602E-2</v>
      </c>
      <c r="AF109" s="609">
        <f>+AF107/AE107-1</f>
        <v>5.7572701294335227E-2</v>
      </c>
      <c r="AG109" s="610"/>
      <c r="AH109" s="611"/>
      <c r="AI109" s="609">
        <f>+AI107/AH107-1</f>
        <v>5.0479361262677713E-2</v>
      </c>
      <c r="AJ109" s="609">
        <f>+AJ107/AI107-1</f>
        <v>5.1428403738646766E-2</v>
      </c>
      <c r="AK109" s="609">
        <f>+AK107/AJ107-1</f>
        <v>3.5474057327862907E-2</v>
      </c>
      <c r="AL109" s="610"/>
      <c r="AM109" s="611"/>
      <c r="AN109" s="609">
        <f>+AN107/AM107-1</f>
        <v>4.7595662503484126E-2</v>
      </c>
      <c r="AO109" s="609">
        <f>+AO107/AN107-1</f>
        <v>4.740969732291056E-2</v>
      </c>
      <c r="AP109" s="609">
        <f>+AP107/AO107-1</f>
        <v>2.410760726252259E-2</v>
      </c>
      <c r="AQ109" s="610"/>
      <c r="AR109" s="611"/>
      <c r="AS109" s="609">
        <f>+AS107/AR107-1</f>
        <v>2.9757833601891992E-2</v>
      </c>
      <c r="AT109" s="609">
        <f>+AT107/AS107-1</f>
        <v>4.7720364741641319E-2</v>
      </c>
      <c r="AU109" s="609">
        <f>+AU107/AT107-1</f>
        <v>1.8609848606947477E-2</v>
      </c>
      <c r="AV109" s="610"/>
      <c r="AW109" s="306">
        <f>+AW107/AU107-1</f>
        <v>2.0622145336019582E-2</v>
      </c>
      <c r="AX109" s="306">
        <f>+AX107/AW107-1</f>
        <v>3.0447724172144364E-2</v>
      </c>
      <c r="AY109" s="306">
        <f>+AY107/AX107-1</f>
        <v>5.2476379611241519E-2</v>
      </c>
      <c r="AZ109" s="306">
        <f>+AZ107/AY107-1</f>
        <v>4.6181409266777163E-2</v>
      </c>
      <c r="BA109" s="561"/>
      <c r="BB109" s="306">
        <f>+BB107/AZ107-1</f>
        <v>3.3157223537985114E-2</v>
      </c>
      <c r="BC109" s="306">
        <f>+BC107/BB107-1</f>
        <v>5.7071063304531933E-2</v>
      </c>
      <c r="BD109" s="306">
        <f>+BD107/BC107-1</f>
        <v>4.7275487309517583E-2</v>
      </c>
      <c r="BE109" s="306">
        <f>+BE107/BD107-1</f>
        <v>4.2114987934151582E-2</v>
      </c>
      <c r="BF109" s="561"/>
      <c r="BG109" s="306">
        <f>+BG107/BE107-1</f>
        <v>-1.2686378955896194E-3</v>
      </c>
      <c r="BH109" s="306">
        <f>+BH107/BG107-1</f>
        <v>4.9937635346602116E-2</v>
      </c>
      <c r="BI109" s="306">
        <f>+BI107/BH107-1</f>
        <v>3.4888381957451697E-2</v>
      </c>
      <c r="BJ109" s="306">
        <f>+BJ107/BI107-1</f>
        <v>1.812727119073787E-2</v>
      </c>
      <c r="BK109" s="561"/>
      <c r="BL109" s="306">
        <f>+BL107/BJ107-1</f>
        <v>8.5425745313689738E-3</v>
      </c>
      <c r="BM109" s="306">
        <f>+BM107/BL107-1</f>
        <v>1.991015397277196E-2</v>
      </c>
      <c r="BN109" s="306">
        <f>+BN107/BM107-1</f>
        <v>3.4692148371304743E-2</v>
      </c>
      <c r="BO109" s="306">
        <f>+BO107/BN107-1</f>
        <v>3.4601311522288736E-2</v>
      </c>
      <c r="BP109" s="561"/>
      <c r="BQ109" s="306">
        <f>+BQ107/BO107-1</f>
        <v>4.4474876092241988E-3</v>
      </c>
      <c r="BR109" s="306">
        <f>+BR107/BQ107-1</f>
        <v>2.603518471034838E-2</v>
      </c>
      <c r="BS109" s="306">
        <f>+BS107/BR107-1</f>
        <v>3.5474393826724127E-2</v>
      </c>
      <c r="BT109" s="306">
        <f>+BT107/BS107-1</f>
        <v>3.1786769640103074E-2</v>
      </c>
      <c r="BU109" s="561"/>
      <c r="BV109" s="306">
        <f>+BV107/BT107-1</f>
        <v>-1.0221157905546452E-2</v>
      </c>
      <c r="BW109" s="306">
        <f>+BW107/BV107-1</f>
        <v>2.1306911969747766E-2</v>
      </c>
      <c r="BX109" s="306">
        <f>+BX107/BW107-1</f>
        <v>3.0680530892340796E-2</v>
      </c>
      <c r="BY109" s="306">
        <f>+BY107/BX107-1</f>
        <v>2.6987761409219102E-2</v>
      </c>
      <c r="BZ109" s="561"/>
      <c r="CA109" s="306">
        <f>+CA107/BY107-1</f>
        <v>-9.7088835326186729E-4</v>
      </c>
      <c r="CB109" s="306">
        <f>+CB107/CA107-1</f>
        <v>1.1850366488546316E-2</v>
      </c>
      <c r="CC109" s="306">
        <f>+CC107/CB107-1</f>
        <v>2.1048002566244284E-2</v>
      </c>
      <c r="CD109" s="306">
        <f>+CD107/CC107-1</f>
        <v>2.6987761409219102E-2</v>
      </c>
      <c r="CE109" s="561"/>
    </row>
    <row r="110" spans="1:83">
      <c r="B110" s="166" t="s">
        <v>212</v>
      </c>
      <c r="C110" s="183"/>
      <c r="D110" s="344">
        <f>+IS!D62</f>
        <v>25140</v>
      </c>
      <c r="E110" s="344">
        <f>+IS!E62</f>
        <v>25996</v>
      </c>
      <c r="F110" s="344">
        <f>+IS!F62</f>
        <v>26545</v>
      </c>
      <c r="G110" s="344">
        <f>+IS!G62</f>
        <v>35064</v>
      </c>
      <c r="H110" s="344">
        <f>+IS!H62</f>
        <v>28186.25</v>
      </c>
      <c r="I110" s="344">
        <f>+IS!I62</f>
        <v>35317</v>
      </c>
      <c r="J110" s="344">
        <f>+IS!J62</f>
        <v>35393</v>
      </c>
      <c r="K110" s="344">
        <f>+IS!K62</f>
        <v>36247</v>
      </c>
      <c r="L110" s="344">
        <f>+IS!L62</f>
        <v>36678</v>
      </c>
      <c r="M110" s="344">
        <f>+IS!M62</f>
        <v>35908.75</v>
      </c>
      <c r="N110" s="344">
        <f>+IS!N62</f>
        <v>37082</v>
      </c>
      <c r="O110" s="344">
        <f>+IS!O62</f>
        <v>36839</v>
      </c>
      <c r="P110" s="344">
        <f>+IS!P62</f>
        <v>37080</v>
      </c>
      <c r="Q110" s="344">
        <f>+IS!Q62</f>
        <v>37630</v>
      </c>
      <c r="R110" s="612">
        <f>+IS!R62</f>
        <v>37157.75</v>
      </c>
      <c r="S110" s="613">
        <f>+IS!S62</f>
        <v>38235</v>
      </c>
      <c r="T110" s="613">
        <f>+IS!T62</f>
        <v>38475</v>
      </c>
      <c r="U110" s="613">
        <f>+IS!U62</f>
        <v>37938</v>
      </c>
      <c r="V110" s="613">
        <f>+IS!V62</f>
        <v>38146</v>
      </c>
      <c r="W110" s="612">
        <f>+IS!W62</f>
        <v>38198.5</v>
      </c>
      <c r="X110" s="613">
        <f>+IS!X62</f>
        <v>37838</v>
      </c>
      <c r="Y110" s="613">
        <f>+IS!Y62</f>
        <v>38143</v>
      </c>
      <c r="Z110" s="613">
        <f>+IS!Z62</f>
        <v>38712</v>
      </c>
      <c r="AA110" s="613">
        <f>+IS!AA62</f>
        <v>39002</v>
      </c>
      <c r="AB110" s="612">
        <f>+IS!AB62</f>
        <v>38423.75</v>
      </c>
      <c r="AC110" s="613">
        <f>+IS!AC62</f>
        <v>38845</v>
      </c>
      <c r="AD110" s="613">
        <f>+IS!AD62</f>
        <v>39535</v>
      </c>
      <c r="AE110" s="613">
        <f>+IS!AE62</f>
        <v>40299</v>
      </c>
      <c r="AF110" s="613">
        <f>+IS!AF62</f>
        <v>41186</v>
      </c>
      <c r="AG110" s="612">
        <f>+IS!AG62</f>
        <v>39966.25</v>
      </c>
      <c r="AH110" s="613">
        <f>+IS!AH62</f>
        <v>41934</v>
      </c>
      <c r="AI110" s="613">
        <f>+IS!AI62</f>
        <v>42215</v>
      </c>
      <c r="AJ110" s="613">
        <f>+IS!AJ62</f>
        <v>42197</v>
      </c>
      <c r="AK110" s="613">
        <f>+IS!AK62</f>
        <v>41580</v>
      </c>
      <c r="AL110" s="612">
        <f>+IS!AL62</f>
        <v>41981.5</v>
      </c>
      <c r="AM110" s="613">
        <f>+IS!AM62</f>
        <v>41546</v>
      </c>
      <c r="AN110" s="613">
        <f>+IS!AN62</f>
        <v>41530</v>
      </c>
      <c r="AO110" s="613">
        <f>+IS!AO62</f>
        <v>41162</v>
      </c>
      <c r="AP110" s="613">
        <f>+IS!AP62</f>
        <v>40921</v>
      </c>
      <c r="AQ110" s="612">
        <f>+IS!AQ62</f>
        <v>41345</v>
      </c>
      <c r="AR110" s="613">
        <f>+IS!AR62</f>
        <v>40846</v>
      </c>
      <c r="AS110" s="613">
        <f>+IS!AS62</f>
        <v>40919</v>
      </c>
      <c r="AT110" s="613">
        <f>+IS!AT62</f>
        <v>40764</v>
      </c>
      <c r="AU110" s="613">
        <f>+IS!AU62</f>
        <v>40440</v>
      </c>
      <c r="AV110" s="612">
        <f>+IS!AV62</f>
        <v>40823</v>
      </c>
      <c r="AW110" s="613">
        <f>+IS!AW62</f>
        <v>40430</v>
      </c>
      <c r="AX110" s="182">
        <f>+IS!AX62</f>
        <v>40077</v>
      </c>
      <c r="AY110" s="182">
        <f>+IS!AY62</f>
        <v>39938</v>
      </c>
      <c r="AZ110" s="182">
        <f>+IS!AZ62</f>
        <v>40031</v>
      </c>
      <c r="BA110" s="562">
        <f>+IS!BA62</f>
        <v>40119</v>
      </c>
      <c r="BB110" s="182">
        <f>+IS!BB62</f>
        <v>40001</v>
      </c>
      <c r="BC110" s="182">
        <f>+IS!BC62</f>
        <v>39689</v>
      </c>
      <c r="BD110" s="182">
        <f>+IS!BD62</f>
        <v>39220</v>
      </c>
      <c r="BE110" s="182">
        <f>+IS!BE62</f>
        <v>38480</v>
      </c>
      <c r="BF110" s="562">
        <f>+IS!BF62</f>
        <v>39347.5</v>
      </c>
      <c r="BG110" s="182">
        <f>+IS!BG62</f>
        <v>37669</v>
      </c>
      <c r="BH110" s="182">
        <f>+IS!BH62</f>
        <v>37435</v>
      </c>
      <c r="BI110" s="182">
        <f>+IS!BI62</f>
        <v>37448</v>
      </c>
      <c r="BJ110" s="182">
        <f>+IS!BJ62</f>
        <v>37748</v>
      </c>
      <c r="BK110" s="562">
        <f>+IS!BK62</f>
        <v>37575</v>
      </c>
      <c r="BL110" s="182">
        <f>+IS!BL62</f>
        <v>37723</v>
      </c>
      <c r="BM110" s="182">
        <f>+IS!BM62</f>
        <v>37464</v>
      </c>
      <c r="BN110" s="182">
        <f>+IS!BN62</f>
        <v>37136</v>
      </c>
      <c r="BO110" s="182">
        <f>+IS!BO62</f>
        <v>37000</v>
      </c>
      <c r="BP110" s="562">
        <f>+IS!BP62</f>
        <v>37330.75</v>
      </c>
      <c r="BQ110" s="182">
        <f>+IS!BQ62</f>
        <v>36784</v>
      </c>
      <c r="BR110" s="182">
        <f>+IS!BR62</f>
        <v>36519</v>
      </c>
      <c r="BS110" s="182">
        <f>+IS!BS62</f>
        <v>36293</v>
      </c>
      <c r="BT110" s="182">
        <f>+IS!BT62</f>
        <v>36140</v>
      </c>
      <c r="BU110" s="562">
        <f>+IS!BU62</f>
        <v>36434</v>
      </c>
      <c r="BV110" s="182">
        <f>+IS!BV62</f>
        <v>35995.440000000002</v>
      </c>
      <c r="BW110" s="182">
        <f>+IS!BW62</f>
        <v>35635.4856</v>
      </c>
      <c r="BX110" s="182">
        <f>+IS!BX62</f>
        <v>35172.224287199999</v>
      </c>
      <c r="BY110" s="182">
        <f>+IS!BY62</f>
        <v>34820.502044328001</v>
      </c>
      <c r="BZ110" s="562">
        <f>+IS!BZ62</f>
        <v>35405.912982882001</v>
      </c>
      <c r="CA110" s="182">
        <f>+IS!CA62</f>
        <v>34646.399534106364</v>
      </c>
      <c r="CB110" s="182">
        <f>+IS!CB62</f>
        <v>34681.045933640467</v>
      </c>
      <c r="CC110" s="182">
        <f>+IS!CC62</f>
        <v>34715.726979574101</v>
      </c>
      <c r="CD110" s="182">
        <f>+IS!CD62</f>
        <v>34750.442706553673</v>
      </c>
      <c r="CE110" s="562">
        <f>+IS!CE62</f>
        <v>34698.403788468655</v>
      </c>
    </row>
    <row r="111" spans="1:83">
      <c r="B111" s="170"/>
      <c r="C111" s="313"/>
      <c r="D111" s="368"/>
      <c r="E111" s="368"/>
      <c r="F111" s="368"/>
      <c r="G111" s="368"/>
      <c r="H111" s="368"/>
      <c r="I111" s="368"/>
      <c r="J111" s="368"/>
      <c r="K111" s="368"/>
      <c r="L111" s="368"/>
      <c r="M111" s="368"/>
      <c r="N111" s="368"/>
      <c r="O111" s="368"/>
      <c r="P111" s="368"/>
      <c r="Q111" s="368"/>
      <c r="R111" s="614"/>
      <c r="S111" s="615"/>
      <c r="T111" s="615"/>
      <c r="U111" s="615"/>
      <c r="V111" s="615"/>
      <c r="W111" s="614"/>
      <c r="X111" s="615"/>
      <c r="Y111" s="615"/>
      <c r="Z111" s="615"/>
      <c r="AA111" s="615"/>
      <c r="AB111" s="614"/>
      <c r="AC111" s="615"/>
      <c r="AD111" s="615"/>
      <c r="AE111" s="615"/>
      <c r="AF111" s="615"/>
      <c r="AG111" s="614"/>
      <c r="AH111" s="615"/>
      <c r="AI111" s="615"/>
      <c r="AJ111" s="615"/>
      <c r="AK111" s="615"/>
      <c r="AL111" s="614"/>
      <c r="AM111" s="615"/>
      <c r="AN111" s="615"/>
      <c r="AO111" s="615"/>
      <c r="AP111" s="615"/>
      <c r="AQ111" s="614"/>
      <c r="AR111" s="615"/>
      <c r="AS111" s="615"/>
      <c r="AT111" s="615"/>
      <c r="AU111" s="615"/>
      <c r="AV111" s="614"/>
      <c r="AW111" s="615"/>
      <c r="AX111" s="374"/>
      <c r="AY111" s="374"/>
      <c r="AZ111" s="374"/>
      <c r="BA111" s="563"/>
      <c r="BB111" s="374"/>
      <c r="BC111" s="374"/>
      <c r="BD111" s="374"/>
      <c r="BE111" s="374"/>
      <c r="BF111" s="563"/>
      <c r="BG111" s="374"/>
      <c r="BH111" s="374"/>
      <c r="BI111" s="374"/>
      <c r="BJ111" s="374"/>
      <c r="BK111" s="563"/>
      <c r="BL111" s="374"/>
      <c r="BM111" s="374"/>
      <c r="BN111" s="374"/>
      <c r="BO111" s="374"/>
      <c r="BP111" s="563"/>
      <c r="BQ111" s="374"/>
      <c r="BR111" s="374"/>
      <c r="BS111" s="374"/>
      <c r="BT111" s="374"/>
      <c r="BU111" s="563"/>
      <c r="BV111" s="374"/>
      <c r="BW111" s="374"/>
      <c r="BX111" s="374"/>
      <c r="BY111" s="374"/>
      <c r="BZ111" s="563"/>
      <c r="CA111" s="374"/>
      <c r="CB111" s="374"/>
      <c r="CC111" s="374"/>
      <c r="CD111" s="374"/>
      <c r="CE111" s="563"/>
    </row>
    <row r="112" spans="1:83">
      <c r="A112" s="121"/>
      <c r="B112" s="366" t="s">
        <v>267</v>
      </c>
      <c r="C112" s="166"/>
      <c r="D112" s="344"/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4"/>
      <c r="P112" s="344"/>
      <c r="Q112" s="344"/>
      <c r="R112" s="612"/>
      <c r="S112" s="613"/>
      <c r="T112" s="613"/>
      <c r="U112" s="613"/>
      <c r="V112" s="613"/>
      <c r="W112" s="612"/>
      <c r="X112" s="613"/>
      <c r="Y112" s="613"/>
      <c r="Z112" s="613"/>
      <c r="AA112" s="613"/>
      <c r="AB112" s="612"/>
      <c r="AC112" s="613"/>
      <c r="AD112" s="613"/>
      <c r="AE112" s="613"/>
      <c r="AF112" s="613"/>
      <c r="AG112" s="612"/>
      <c r="AH112" s="613"/>
      <c r="AI112" s="613"/>
      <c r="AJ112" s="613"/>
      <c r="AK112" s="613"/>
      <c r="AL112" s="612"/>
      <c r="AM112" s="613"/>
      <c r="AN112" s="613"/>
      <c r="AO112" s="613"/>
      <c r="AP112" s="613"/>
      <c r="AQ112" s="612"/>
      <c r="AR112" s="613"/>
      <c r="AS112" s="613"/>
      <c r="AT112" s="613"/>
      <c r="AU112" s="613"/>
      <c r="AV112" s="612"/>
      <c r="AW112" s="613"/>
      <c r="AX112" s="182"/>
      <c r="AY112" s="182"/>
      <c r="AZ112" s="182"/>
      <c r="BA112" s="562"/>
      <c r="BB112" s="182"/>
      <c r="BC112" s="182"/>
      <c r="BD112" s="182"/>
      <c r="BE112" s="182"/>
      <c r="BF112" s="562"/>
      <c r="BG112" s="182"/>
      <c r="BH112" s="182"/>
      <c r="BI112" s="182"/>
      <c r="BJ112" s="182"/>
      <c r="BK112" s="562"/>
      <c r="BL112" s="182"/>
      <c r="BM112" s="182"/>
      <c r="BN112" s="182"/>
      <c r="BO112" s="182"/>
      <c r="BP112" s="562"/>
      <c r="BQ112" s="182"/>
      <c r="BR112" s="182"/>
      <c r="BS112" s="182"/>
      <c r="BT112" s="182"/>
      <c r="BU112" s="562"/>
      <c r="BV112" s="182"/>
      <c r="BW112" s="182"/>
      <c r="BX112" s="182"/>
      <c r="BY112" s="182"/>
      <c r="BZ112" s="562"/>
      <c r="CA112" s="182"/>
      <c r="CB112" s="182"/>
      <c r="CC112" s="182"/>
      <c r="CD112" s="182"/>
      <c r="CE112" s="562"/>
    </row>
    <row r="113" spans="1:83">
      <c r="A113" s="121" t="s">
        <v>218</v>
      </c>
      <c r="B113" s="273" t="s">
        <v>268</v>
      </c>
      <c r="C113" s="166"/>
      <c r="D113" s="369">
        <v>676</v>
      </c>
      <c r="E113" s="369">
        <v>880</v>
      </c>
      <c r="F113" s="369">
        <v>1027</v>
      </c>
      <c r="G113" s="370">
        <f t="shared" ref="G113" si="533">H113-SUM(D113:F113)</f>
        <v>869</v>
      </c>
      <c r="H113" s="344">
        <f>+CF!H11</f>
        <v>3452</v>
      </c>
      <c r="I113" s="369">
        <v>949</v>
      </c>
      <c r="J113" s="369">
        <v>1238</v>
      </c>
      <c r="K113" s="369">
        <v>1621</v>
      </c>
      <c r="L113" s="370">
        <f t="shared" ref="L113" si="534">M113-SUM(I113:K113)</f>
        <v>1698</v>
      </c>
      <c r="M113" s="344">
        <f>+CF!M11</f>
        <v>5506</v>
      </c>
      <c r="N113" s="344">
        <f>+CF!N11</f>
        <v>2126</v>
      </c>
      <c r="O113" s="344">
        <f>+CF!O11</f>
        <v>2480</v>
      </c>
      <c r="P113" s="344">
        <f>+CF!P11</f>
        <v>2494</v>
      </c>
      <c r="Q113" s="344">
        <f>+CF!Q11</f>
        <v>3449</v>
      </c>
      <c r="R113" s="612">
        <f>+CF!R11</f>
        <v>10549</v>
      </c>
      <c r="S113" s="613">
        <f>+CF!S11</f>
        <v>3875</v>
      </c>
      <c r="T113" s="613">
        <f>+CF!T11</f>
        <v>4382</v>
      </c>
      <c r="U113" s="613">
        <f>+CF!U11</f>
        <v>4421</v>
      </c>
      <c r="V113" s="613">
        <f>+CF!V11</f>
        <v>4816</v>
      </c>
      <c r="W113" s="612">
        <f>+CF!W11</f>
        <v>17494</v>
      </c>
      <c r="X113" s="613">
        <f>+CF!X11</f>
        <v>4697</v>
      </c>
      <c r="Y113" s="613">
        <f>+CF!Y11</f>
        <v>5322</v>
      </c>
      <c r="Z113" s="613">
        <f>+CF!Z11</f>
        <v>5103</v>
      </c>
      <c r="AA113" s="613">
        <f>+CF!AA11</f>
        <v>5027</v>
      </c>
      <c r="AB113" s="612">
        <f>+CF!AB11</f>
        <v>20149</v>
      </c>
      <c r="AC113" s="613">
        <f>+CF!AC11</f>
        <v>4332</v>
      </c>
      <c r="AD113" s="613">
        <f>+CF!AD11</f>
        <v>6447</v>
      </c>
      <c r="AE113" s="613">
        <f>+CF!AE11</f>
        <v>7743</v>
      </c>
      <c r="AF113" s="613">
        <f>+CF!AF11</f>
        <v>8439</v>
      </c>
      <c r="AG113" s="612">
        <f>+CF!AG11</f>
        <v>26961</v>
      </c>
      <c r="AH113" s="613">
        <f>+CF!AH11</f>
        <v>8891</v>
      </c>
      <c r="AI113" s="613">
        <f>+CF!AI11</f>
        <v>7023</v>
      </c>
      <c r="AJ113" s="613">
        <f>+CF!AJ11</f>
        <v>6758</v>
      </c>
      <c r="AK113" s="613">
        <f>+CF!AK11</f>
        <v>7418</v>
      </c>
      <c r="AL113" s="612">
        <f>+CF!AL11</f>
        <v>30090</v>
      </c>
      <c r="AM113" s="613">
        <f>+CF!AM11</f>
        <v>8445</v>
      </c>
      <c r="AN113" s="613">
        <f>+CF!AN11</f>
        <v>8335</v>
      </c>
      <c r="AO113" s="613">
        <f>+CF!AO11</f>
        <v>8383</v>
      </c>
      <c r="AP113" s="613">
        <f>+CF!AP11</f>
        <v>9729</v>
      </c>
      <c r="AQ113" s="612">
        <f>+CF!AQ11</f>
        <v>34892</v>
      </c>
      <c r="AR113" s="613">
        <f>+CF!AR11</f>
        <v>9997</v>
      </c>
      <c r="AS113" s="613">
        <f>+CF!AS11</f>
        <v>9444</v>
      </c>
      <c r="AT113" s="613">
        <f>+CF!AT11</f>
        <v>10489</v>
      </c>
      <c r="AU113" s="613">
        <f>10104</f>
        <v>10104</v>
      </c>
      <c r="AV113" s="612">
        <f>+SUM(AR113:AU113)</f>
        <v>40034</v>
      </c>
      <c r="AW113" s="613">
        <f>+CF!AW11</f>
        <v>38202</v>
      </c>
      <c r="AX113" s="613">
        <f>+CF!AX11</f>
        <v>8553</v>
      </c>
      <c r="AY113" s="613">
        <f>+CF!AY11</f>
        <v>9463</v>
      </c>
      <c r="AZ113" s="613">
        <f>+CF!AZ11</f>
        <v>11361</v>
      </c>
      <c r="BA113" s="562">
        <f>+SUM(AW113:AZ113)</f>
        <v>67579</v>
      </c>
      <c r="BB113" s="613">
        <f>+CF!BB11</f>
        <v>11745</v>
      </c>
      <c r="BC113" s="613">
        <f>+CF!BC11</f>
        <v>12820</v>
      </c>
      <c r="BD113" s="613">
        <f>+CF!BD11</f>
        <v>13291</v>
      </c>
      <c r="BE113" s="613">
        <f>+CF!BE11</f>
        <v>15552</v>
      </c>
      <c r="BF113" s="562">
        <f>+SUM(BB113:BE113)</f>
        <v>53408</v>
      </c>
      <c r="BG113" s="182">
        <v>16033</v>
      </c>
      <c r="BH113" s="182">
        <v>16005</v>
      </c>
      <c r="BI113" s="182">
        <v>18522</v>
      </c>
      <c r="BJ113" s="182">
        <f>18519</f>
        <v>18519</v>
      </c>
      <c r="BK113" s="562">
        <f>+SUM(BG113:BJ113)</f>
        <v>69079</v>
      </c>
      <c r="BL113" s="182">
        <f>19031</f>
        <v>19031</v>
      </c>
      <c r="BM113" s="182">
        <f>17086</f>
        <v>17086</v>
      </c>
      <c r="BN113" s="182">
        <f>20337</f>
        <v>20337</v>
      </c>
      <c r="BO113" s="182">
        <v>20679</v>
      </c>
      <c r="BP113" s="562">
        <f>+SUM(BL113:BO113)</f>
        <v>77133</v>
      </c>
      <c r="BQ113" s="182">
        <f>18820</f>
        <v>18820</v>
      </c>
      <c r="BR113" s="182">
        <f>BR64</f>
        <v>18046</v>
      </c>
      <c r="BS113" s="182">
        <f>19447</f>
        <v>19447</v>
      </c>
      <c r="BT113" s="182">
        <f>20653</f>
        <v>20653</v>
      </c>
      <c r="BU113" s="562">
        <f>+SUM(BQ113:BT113)</f>
        <v>76966</v>
      </c>
      <c r="BV113" s="182">
        <f>+BV107*BV117</f>
        <v>19083.945650000001</v>
      </c>
      <c r="BW113" s="182">
        <f>+BW107*BW117</f>
        <v>19490.565600000002</v>
      </c>
      <c r="BX113" s="182">
        <f>+BX107*BX117</f>
        <v>19175.43075</v>
      </c>
      <c r="BY113" s="182">
        <f>+BY107*BY117</f>
        <v>18755.174000000003</v>
      </c>
      <c r="BZ113" s="562">
        <f>+SUM(BV113:BY113)</f>
        <v>76505.116000000009</v>
      </c>
      <c r="CA113" s="182">
        <f>+CA107*CA117</f>
        <v>18736.964820000005</v>
      </c>
      <c r="CB113" s="182">
        <f>+CB107*CB117</f>
        <v>18959.004720000004</v>
      </c>
      <c r="CC113" s="182">
        <f>+CC107*CC117</f>
        <v>19358.053899999999</v>
      </c>
      <c r="CD113" s="182">
        <f>+CD107*CD117</f>
        <v>18886.460218000004</v>
      </c>
      <c r="CE113" s="562">
        <f>+SUM(CA113:CD113)</f>
        <v>75940.483658000012</v>
      </c>
    </row>
    <row r="114" spans="1:83">
      <c r="B114" s="273" t="s">
        <v>128</v>
      </c>
      <c r="C114" s="166"/>
      <c r="D114" s="345"/>
      <c r="E114" s="345"/>
      <c r="F114" s="345"/>
      <c r="G114" s="345"/>
      <c r="H114" s="345"/>
      <c r="I114" s="348">
        <f>+I113/D113-1</f>
        <v>0.40384615384615374</v>
      </c>
      <c r="J114" s="348">
        <f>+J113/E113-1</f>
        <v>0.40681818181818175</v>
      </c>
      <c r="K114" s="348">
        <f>+K113/F113-1</f>
        <v>0.57838364167478096</v>
      </c>
      <c r="L114" s="348">
        <f>+L113/G113-1</f>
        <v>0.95397008055235899</v>
      </c>
      <c r="M114" s="348">
        <f>+M113/H113-1</f>
        <v>0.59501738122827352</v>
      </c>
      <c r="N114" s="348">
        <f t="shared" ref="N114:AZ114" si="535">+N113/I113-1</f>
        <v>1.2402528977871445</v>
      </c>
      <c r="O114" s="348">
        <f t="shared" si="535"/>
        <v>1.0032310177705979</v>
      </c>
      <c r="P114" s="348">
        <f t="shared" si="535"/>
        <v>0.53855644663787783</v>
      </c>
      <c r="Q114" s="348">
        <f t="shared" si="535"/>
        <v>1.0312131919905774</v>
      </c>
      <c r="R114" s="608">
        <f t="shared" si="535"/>
        <v>0.9159099164547766</v>
      </c>
      <c r="S114" s="609">
        <f t="shared" si="535"/>
        <v>0.82267168391345247</v>
      </c>
      <c r="T114" s="609">
        <f t="shared" si="535"/>
        <v>0.76693548387096766</v>
      </c>
      <c r="U114" s="609">
        <f t="shared" si="535"/>
        <v>0.77265437048917396</v>
      </c>
      <c r="V114" s="609">
        <f t="shared" si="535"/>
        <v>0.3963467671788925</v>
      </c>
      <c r="W114" s="608">
        <f t="shared" si="535"/>
        <v>0.65835624229784817</v>
      </c>
      <c r="X114" s="609">
        <f t="shared" si="535"/>
        <v>0.21212903225806445</v>
      </c>
      <c r="Y114" s="609">
        <f t="shared" si="535"/>
        <v>0.21451392058420815</v>
      </c>
      <c r="Z114" s="609">
        <f t="shared" si="535"/>
        <v>0.15426374123501474</v>
      </c>
      <c r="AA114" s="609">
        <f t="shared" si="535"/>
        <v>4.3812292358804017E-2</v>
      </c>
      <c r="AB114" s="608">
        <f t="shared" si="535"/>
        <v>0.15176631988110212</v>
      </c>
      <c r="AC114" s="609">
        <f t="shared" si="535"/>
        <v>-7.7709176069831853E-2</v>
      </c>
      <c r="AD114" s="609">
        <f t="shared" si="535"/>
        <v>0.21138669673055244</v>
      </c>
      <c r="AE114" s="609">
        <f t="shared" si="535"/>
        <v>0.51734273956496168</v>
      </c>
      <c r="AF114" s="609">
        <f t="shared" si="535"/>
        <v>0.67873483190769845</v>
      </c>
      <c r="AG114" s="608">
        <f t="shared" si="535"/>
        <v>0.33808129435704015</v>
      </c>
      <c r="AH114" s="609">
        <f t="shared" si="535"/>
        <v>1.0524007386888274</v>
      </c>
      <c r="AI114" s="609">
        <f t="shared" si="535"/>
        <v>8.9343880874825476E-2</v>
      </c>
      <c r="AJ114" s="609">
        <f t="shared" si="535"/>
        <v>-0.12721167506134579</v>
      </c>
      <c r="AK114" s="609">
        <f t="shared" si="535"/>
        <v>-0.12098589880317578</v>
      </c>
      <c r="AL114" s="608">
        <f t="shared" si="535"/>
        <v>0.11605652609324579</v>
      </c>
      <c r="AM114" s="609">
        <f t="shared" si="535"/>
        <v>-5.0163086267011603E-2</v>
      </c>
      <c r="AN114" s="609">
        <f t="shared" si="535"/>
        <v>0.18681475153068483</v>
      </c>
      <c r="AO114" s="609">
        <f t="shared" si="535"/>
        <v>0.24045575614087</v>
      </c>
      <c r="AP114" s="609">
        <f t="shared" si="535"/>
        <v>0.31153949851712048</v>
      </c>
      <c r="AQ114" s="608">
        <f t="shared" si="535"/>
        <v>0.15958790295779335</v>
      </c>
      <c r="AR114" s="609">
        <f t="shared" si="535"/>
        <v>0.18377738306690339</v>
      </c>
      <c r="AS114" s="609">
        <f t="shared" si="535"/>
        <v>0.13305338932213551</v>
      </c>
      <c r="AT114" s="609">
        <f t="shared" si="535"/>
        <v>0.25122271263270912</v>
      </c>
      <c r="AU114" s="609">
        <f t="shared" si="535"/>
        <v>3.8544557508479738E-2</v>
      </c>
      <c r="AV114" s="608">
        <f t="shared" ref="AV114" si="536">+AV113/AQ113-1</f>
        <v>0.14736902441820465</v>
      </c>
      <c r="AW114" s="609">
        <f t="shared" si="535"/>
        <v>2.8213464039211762</v>
      </c>
      <c r="AX114" s="609">
        <f t="shared" si="535"/>
        <v>-9.4345616264294829E-2</v>
      </c>
      <c r="AY114" s="609">
        <f t="shared" si="535"/>
        <v>-9.7816760415673554E-2</v>
      </c>
      <c r="AZ114" s="609">
        <f t="shared" si="535"/>
        <v>0.12440617577197144</v>
      </c>
      <c r="BA114" s="560">
        <f t="shared" ref="BA114" si="537">+BA113/AV113-1</f>
        <v>0.68804016585901984</v>
      </c>
      <c r="BB114" s="306">
        <f t="shared" ref="BB114" si="538">+BB113/AW113-1</f>
        <v>-0.69255536359352909</v>
      </c>
      <c r="BC114" s="306">
        <f t="shared" ref="BC114:BD114" si="539">+BC113/AX113-1</f>
        <v>0.49888927861569043</v>
      </c>
      <c r="BD114" s="306">
        <f t="shared" si="539"/>
        <v>0.40452287857973168</v>
      </c>
      <c r="BE114" s="306">
        <f t="shared" ref="BE114" si="540">+BE113/AZ113-1</f>
        <v>0.36889358331132827</v>
      </c>
      <c r="BF114" s="560">
        <f t="shared" ref="BF114" si="541">+BF113/BA113-1</f>
        <v>-0.20969531955193177</v>
      </c>
      <c r="BG114" s="306">
        <f t="shared" ref="BG114" si="542">+BG113/BB113-1</f>
        <v>0.3650915283099192</v>
      </c>
      <c r="BH114" s="306">
        <f t="shared" ref="BH114" si="543">+BH113/BC113-1</f>
        <v>0.24843993759750393</v>
      </c>
      <c r="BI114" s="306">
        <f t="shared" ref="BI114" si="544">+BI113/BD113-1</f>
        <v>0.39357459935294559</v>
      </c>
      <c r="BJ114" s="306">
        <f t="shared" ref="BJ114" si="545">+BJ113/BE113-1</f>
        <v>0.19077932098765427</v>
      </c>
      <c r="BK114" s="560">
        <f t="shared" ref="BK114" si="546">+BK113/BF113-1</f>
        <v>0.29342046135410427</v>
      </c>
      <c r="BL114" s="306">
        <f t="shared" ref="BL114" si="547">+BL113/BG113-1</f>
        <v>0.1869893344975988</v>
      </c>
      <c r="BM114" s="306">
        <f t="shared" ref="BM114" si="548">+BM113/BH113-1</f>
        <v>6.7541393314589193E-2</v>
      </c>
      <c r="BN114" s="306">
        <f t="shared" ref="BN114" si="549">+BN113/BI113-1</f>
        <v>9.7991577583414369E-2</v>
      </c>
      <c r="BO114" s="306">
        <f t="shared" ref="BO114" si="550">+BO113/BJ113-1</f>
        <v>0.11663696743884655</v>
      </c>
      <c r="BP114" s="560">
        <f t="shared" ref="BP114:BQ114" si="551">+BP113/BK113-1</f>
        <v>0.11659114926388625</v>
      </c>
      <c r="BQ114" s="306">
        <f t="shared" si="551"/>
        <v>-1.1087173558930186E-2</v>
      </c>
      <c r="BR114" s="306">
        <f t="shared" ref="BR114:BS114" si="552">+BR113/BM113-1</f>
        <v>5.6186351398806123E-2</v>
      </c>
      <c r="BS114" s="306">
        <f t="shared" si="552"/>
        <v>-4.3762600186851519E-2</v>
      </c>
      <c r="BT114" s="306">
        <f t="shared" ref="BT114" si="553">+BT113/BO113-1</f>
        <v>-1.2573141834711921E-3</v>
      </c>
      <c r="BU114" s="560">
        <f t="shared" ref="BU114" si="554">+BU113/BP113-1</f>
        <v>-2.1650914653909004E-3</v>
      </c>
      <c r="BV114" s="306">
        <f t="shared" ref="BV114" si="555">+BV113/BQ113-1</f>
        <v>1.4024742295430492E-2</v>
      </c>
      <c r="BW114" s="306">
        <f t="shared" ref="BW114" si="556">+BW113/BR113-1</f>
        <v>8.0049074587166258E-2</v>
      </c>
      <c r="BX114" s="306">
        <f t="shared" ref="BX114" si="557">+BX113/BS113-1</f>
        <v>-1.396458322620453E-2</v>
      </c>
      <c r="BY114" s="306">
        <f t="shared" ref="BY114" si="558">+BY113/BT113-1</f>
        <v>-9.1891056989299225E-2</v>
      </c>
      <c r="BZ114" s="560">
        <f t="shared" ref="BZ114" si="559">+BZ113/BU113-1</f>
        <v>-5.9881506119584538E-3</v>
      </c>
      <c r="CA114" s="306">
        <f t="shared" ref="CA114" si="560">+CA113/BV113-1</f>
        <v>-1.8181818181817966E-2</v>
      </c>
      <c r="CB114" s="306">
        <f t="shared" ref="CB114" si="561">+CB113/BW113-1</f>
        <v>-2.7272727272727115E-2</v>
      </c>
      <c r="CC114" s="306">
        <f t="shared" ref="CC114" si="562">+CC113/BX113-1</f>
        <v>9.52380952380949E-3</v>
      </c>
      <c r="CD114" s="306">
        <f t="shared" ref="CD114" si="563">+CD113/BY113-1</f>
        <v>7.0000000000001172E-3</v>
      </c>
      <c r="CE114" s="560">
        <f t="shared" ref="CE114" si="564">+CE113/BZ113-1</f>
        <v>-7.3803213630837528E-3</v>
      </c>
    </row>
    <row r="115" spans="1:83">
      <c r="B115" s="273" t="s">
        <v>129</v>
      </c>
      <c r="C115" s="166"/>
      <c r="D115" s="367"/>
      <c r="E115" s="348">
        <f>+E113/D113-1</f>
        <v>0.30177514792899407</v>
      </c>
      <c r="F115" s="348">
        <f>+F113/E113-1</f>
        <v>0.1670454545454545</v>
      </c>
      <c r="G115" s="348">
        <f>+G113/F113-1</f>
        <v>-0.15384615384615385</v>
      </c>
      <c r="H115" s="367"/>
      <c r="I115" s="348">
        <f>+I113/G113-1</f>
        <v>9.205983889528202E-2</v>
      </c>
      <c r="J115" s="348">
        <f>+J113/I113-1</f>
        <v>0.30453108535300322</v>
      </c>
      <c r="K115" s="348">
        <f>+K113/J113-1</f>
        <v>0.30936995153473346</v>
      </c>
      <c r="L115" s="348">
        <f>+L113/K113-1</f>
        <v>4.7501542257865514E-2</v>
      </c>
      <c r="M115" s="367"/>
      <c r="N115" s="348">
        <f>+N113/L113-1</f>
        <v>0.25206124852767964</v>
      </c>
      <c r="O115" s="348">
        <f>+O113/N113-1</f>
        <v>0.16650987770460968</v>
      </c>
      <c r="P115" s="348">
        <f t="shared" ref="P115:Q115" si="565">+P113/O113-1</f>
        <v>5.6451612903225534E-3</v>
      </c>
      <c r="Q115" s="348">
        <f t="shared" si="565"/>
        <v>0.38291900561347236</v>
      </c>
      <c r="R115" s="610"/>
      <c r="S115" s="609">
        <f>+S113/Q113-1</f>
        <v>0.12351406204697013</v>
      </c>
      <c r="T115" s="609">
        <f>+T113/S113-1</f>
        <v>0.13083870967741928</v>
      </c>
      <c r="U115" s="609">
        <f t="shared" ref="U115:V115" si="566">+U113/T113-1</f>
        <v>8.9000456412597906E-3</v>
      </c>
      <c r="V115" s="609">
        <f t="shared" si="566"/>
        <v>8.934630174168734E-2</v>
      </c>
      <c r="W115" s="610"/>
      <c r="X115" s="609">
        <f>+X113/V113-1</f>
        <v>-2.4709302325581439E-2</v>
      </c>
      <c r="Y115" s="609">
        <f>+Y113/X113-1</f>
        <v>0.13306365765382155</v>
      </c>
      <c r="Z115" s="609">
        <f t="shared" ref="Z115:AA115" si="567">+Z113/Y113-1</f>
        <v>-4.1149943630214181E-2</v>
      </c>
      <c r="AA115" s="609">
        <f t="shared" si="567"/>
        <v>-1.4893200078385238E-2</v>
      </c>
      <c r="AB115" s="610"/>
      <c r="AC115" s="609">
        <f>+AC113/AA113-1</f>
        <v>-0.13825343147006164</v>
      </c>
      <c r="AD115" s="609">
        <f>+AD113/AC113-1</f>
        <v>0.48822714681440438</v>
      </c>
      <c r="AE115" s="609">
        <f>+AE113/AD113-1</f>
        <v>0.20102373196835743</v>
      </c>
      <c r="AF115" s="609">
        <f>+AF113/AE113-1</f>
        <v>8.98876404494382E-2</v>
      </c>
      <c r="AG115" s="610"/>
      <c r="AH115" s="611"/>
      <c r="AI115" s="609">
        <f>+AI113/AH113-1</f>
        <v>-0.21010010122595879</v>
      </c>
      <c r="AJ115" s="609">
        <f>+AJ113/AI113-1</f>
        <v>-3.7733162466182524E-2</v>
      </c>
      <c r="AK115" s="609">
        <f>+AK113/AJ113-1</f>
        <v>9.7662030186445703E-2</v>
      </c>
      <c r="AL115" s="610"/>
      <c r="AM115" s="611"/>
      <c r="AN115" s="609">
        <f>+AN113/AM113-1</f>
        <v>-1.3025458851391392E-2</v>
      </c>
      <c r="AO115" s="609">
        <f>+AO113/AN113-1</f>
        <v>5.7588482303538857E-3</v>
      </c>
      <c r="AP115" s="609">
        <f>+AP113/AO113-1</f>
        <v>0.16056304425623291</v>
      </c>
      <c r="AQ115" s="610"/>
      <c r="AR115" s="611"/>
      <c r="AS115" s="609">
        <f>+AS113/AR113-1</f>
        <v>-5.5316594978493505E-2</v>
      </c>
      <c r="AT115" s="609">
        <f>+AT113/AS113-1</f>
        <v>0.1106522659889877</v>
      </c>
      <c r="AU115" s="609">
        <f>+AU113/AT113-1</f>
        <v>-3.6705119649156237E-2</v>
      </c>
      <c r="AV115" s="610"/>
      <c r="AW115" s="611"/>
      <c r="AX115" s="611"/>
      <c r="AY115" s="611"/>
      <c r="AZ115" s="611"/>
      <c r="BA115" s="561"/>
      <c r="BB115" s="306">
        <f>+BB113/AZ113-1</f>
        <v>3.3799841563242783E-2</v>
      </c>
      <c r="BC115" s="306">
        <f>+BC113/BB113-1</f>
        <v>9.1528309919114426E-2</v>
      </c>
      <c r="BD115" s="306">
        <f>+BD113/BC113-1</f>
        <v>3.6739469578783046E-2</v>
      </c>
      <c r="BE115" s="306">
        <f t="shared" ref="BE115" si="568">+BE113/BD113-1</f>
        <v>0.17011511549168601</v>
      </c>
      <c r="BF115" s="561"/>
      <c r="BG115" s="306">
        <f>+BG113/BE113-1</f>
        <v>3.0928497942386723E-2</v>
      </c>
      <c r="BH115" s="306">
        <f>+BH113/BG113-1</f>
        <v>-1.7463980540135537E-3</v>
      </c>
      <c r="BI115" s="306">
        <f t="shared" ref="BI115" si="569">+BI113/BH113-1</f>
        <v>0.15726335520149948</v>
      </c>
      <c r="BJ115" s="306">
        <f t="shared" ref="BJ115" si="570">+BJ113/BI113-1</f>
        <v>-1.6196954972469424E-4</v>
      </c>
      <c r="BK115" s="561"/>
      <c r="BL115" s="306">
        <f>+BL113/BJ113-1</f>
        <v>2.7647281170689597E-2</v>
      </c>
      <c r="BM115" s="306">
        <f>+BM113/BL113-1</f>
        <v>-0.10220167095791077</v>
      </c>
      <c r="BN115" s="306">
        <f t="shared" ref="BN115" si="571">+BN113/BM113-1</f>
        <v>0.19027273791408161</v>
      </c>
      <c r="BO115" s="306">
        <f t="shared" ref="BO115" si="572">+BO113/BN113-1</f>
        <v>1.6816639622363239E-2</v>
      </c>
      <c r="BP115" s="561"/>
      <c r="BQ115" s="306">
        <f>+BQ113/BO113-1</f>
        <v>-8.9897964118187512E-2</v>
      </c>
      <c r="BR115" s="306">
        <f>+BR113/BQ113-1</f>
        <v>-4.1126461211477117E-2</v>
      </c>
      <c r="BS115" s="306">
        <f t="shared" ref="BS115" si="573">+BS113/BR113-1</f>
        <v>7.7634932949129931E-2</v>
      </c>
      <c r="BT115" s="306">
        <f t="shared" ref="BT115" si="574">+BT113/BS113-1</f>
        <v>6.2014706638556127E-2</v>
      </c>
      <c r="BU115" s="561"/>
      <c r="BV115" s="306">
        <f>+BV113/BT113-1</f>
        <v>-7.5972224374182828E-2</v>
      </c>
      <c r="BW115" s="306">
        <f>+BW113/BV113-1</f>
        <v>2.1306911969747766E-2</v>
      </c>
      <c r="BX115" s="306">
        <f t="shared" ref="BX115" si="575">+BX113/BW113-1</f>
        <v>-1.6168584148219978E-2</v>
      </c>
      <c r="BY115" s="306">
        <f t="shared" ref="BY115" si="576">+BY113/BX113-1</f>
        <v>-2.1916417705505564E-2</v>
      </c>
      <c r="BZ115" s="561"/>
      <c r="CA115" s="306">
        <f>+CA113/BY113-1</f>
        <v>-9.7088835326175627E-4</v>
      </c>
      <c r="CB115" s="306">
        <f>+CB113/CA113-1</f>
        <v>1.1850366488546316E-2</v>
      </c>
      <c r="CC115" s="306">
        <f t="shared" ref="CC115" si="577">+CC113/CB113-1</f>
        <v>2.1048002566244062E-2</v>
      </c>
      <c r="CD115" s="306">
        <f t="shared" ref="CD115" si="578">+CD113/CC113-1</f>
        <v>-2.4361626661241753E-2</v>
      </c>
      <c r="CE115" s="561"/>
    </row>
    <row r="116" spans="1:83">
      <c r="B116" s="291" t="s">
        <v>213</v>
      </c>
      <c r="C116" s="166"/>
      <c r="D116" s="348">
        <f t="shared" ref="D116:G116" si="579">+D113/D107</f>
        <v>3.1900335047897695E-2</v>
      </c>
      <c r="E116" s="348">
        <f t="shared" si="579"/>
        <v>3.9657503379900857E-2</v>
      </c>
      <c r="F116" s="348">
        <f t="shared" si="579"/>
        <v>4.3922675562398428E-2</v>
      </c>
      <c r="G116" s="348">
        <f t="shared" si="579"/>
        <v>3.5243541387841179E-2</v>
      </c>
      <c r="H116" s="348">
        <f>+H113/H107</f>
        <v>3.7759789980310654E-2</v>
      </c>
      <c r="I116" s="348">
        <f t="shared" ref="I116:L116" si="580">+I113/I107</f>
        <v>3.8138488124422297E-2</v>
      </c>
      <c r="J116" s="348">
        <f t="shared" si="580"/>
        <v>4.7088357232513027E-2</v>
      </c>
      <c r="K116" s="348">
        <f t="shared" si="580"/>
        <v>5.8416519514216732E-2</v>
      </c>
      <c r="L116" s="348">
        <f t="shared" si="580"/>
        <v>5.8473087916250541E-2</v>
      </c>
      <c r="M116" s="348">
        <f t="shared" ref="M116:AD116" si="581">+M113/M107</f>
        <v>5.0999425723865795E-2</v>
      </c>
      <c r="N116" s="348">
        <f t="shared" si="581"/>
        <v>7.0035577809988148E-2</v>
      </c>
      <c r="O116" s="348">
        <f t="shared" si="581"/>
        <v>7.6775431861804216E-2</v>
      </c>
      <c r="P116" s="348">
        <f t="shared" si="581"/>
        <v>7.2609758937929425E-2</v>
      </c>
      <c r="Q116" s="348">
        <f t="shared" si="581"/>
        <v>9.4304541601728048E-2</v>
      </c>
      <c r="R116" s="608">
        <f t="shared" si="581"/>
        <v>7.897199410086915E-2</v>
      </c>
      <c r="S116" s="609">
        <f t="shared" si="581"/>
        <v>0.10335262582348705</v>
      </c>
      <c r="T116" s="609">
        <f t="shared" si="581"/>
        <v>0.10988790530882464</v>
      </c>
      <c r="U116" s="609">
        <f t="shared" si="581"/>
        <v>0.10409946078315949</v>
      </c>
      <c r="V116" s="609">
        <f t="shared" si="581"/>
        <v>0.10835864551693104</v>
      </c>
      <c r="W116" s="608">
        <f t="shared" si="581"/>
        <v>0.1064863285529936</v>
      </c>
      <c r="X116" s="609">
        <f t="shared" si="581"/>
        <v>0.1015611485902093</v>
      </c>
      <c r="Y116" s="609">
        <f t="shared" si="581"/>
        <v>0.10980893822473486</v>
      </c>
      <c r="Z116" s="609">
        <f t="shared" si="581"/>
        <v>0.10008433522270382</v>
      </c>
      <c r="AA116" s="609">
        <f t="shared" si="581"/>
        <v>9.6258425245098034E-2</v>
      </c>
      <c r="AB116" s="608">
        <f t="shared" si="581"/>
        <v>0.1018011873184287</v>
      </c>
      <c r="AC116" s="609">
        <f t="shared" si="581"/>
        <v>8.1549669622183324E-2</v>
      </c>
      <c r="AD116" s="609">
        <f t="shared" si="581"/>
        <v>0.1165780622762287</v>
      </c>
      <c r="AE116" s="609">
        <f t="shared" ref="AE116:AG116" si="582">+AE113/AE107</f>
        <v>0.13015632879475542</v>
      </c>
      <c r="AF116" s="609">
        <f t="shared" si="582"/>
        <v>0.13413335452594771</v>
      </c>
      <c r="AG116" s="608">
        <f t="shared" si="582"/>
        <v>0.11680125461382501</v>
      </c>
      <c r="AH116" s="609">
        <f t="shared" ref="AH116:AI116" si="583">+AH113/AH107</f>
        <v>0.13704183236227996</v>
      </c>
      <c r="AI116" s="609">
        <f t="shared" si="583"/>
        <v>0.10304755476648129</v>
      </c>
      <c r="AJ116" s="609">
        <f t="shared" ref="AJ116:AN116" si="584">+AJ113/AJ107</f>
        <v>9.4309079237489185E-2</v>
      </c>
      <c r="AK116" s="609">
        <f t="shared" si="584"/>
        <v>9.9973045822102424E-2</v>
      </c>
      <c r="AL116" s="608">
        <f t="shared" si="584"/>
        <v>0.1078923872938696</v>
      </c>
      <c r="AM116" s="609">
        <f t="shared" si="584"/>
        <v>0.11208738701671024</v>
      </c>
      <c r="AN116" s="609">
        <f t="shared" si="584"/>
        <v>0.10560123655437165</v>
      </c>
      <c r="AO116" s="609">
        <f t="shared" ref="AO116:AS116" si="585">+AO113/AO107</f>
        <v>0.10140194264010355</v>
      </c>
      <c r="AP116" s="609">
        <f t="shared" si="585"/>
        <v>0.11491306812813001</v>
      </c>
      <c r="AQ116" s="608">
        <f t="shared" si="585"/>
        <v>0.1084926634059582</v>
      </c>
      <c r="AR116" s="609">
        <f t="shared" si="585"/>
        <v>0.11588977893187113</v>
      </c>
      <c r="AS116" s="609">
        <f t="shared" si="585"/>
        <v>0.10631543397500845</v>
      </c>
      <c r="AT116" s="609">
        <f t="shared" ref="AT116:AU116" si="586">+AT113/AT107</f>
        <v>0.11270132912140456</v>
      </c>
      <c r="AU116" s="609">
        <f t="shared" si="586"/>
        <v>0.1065811542072341</v>
      </c>
      <c r="AV116" s="608">
        <f t="shared" ref="AV116:AW116" si="587">+AV113/AV107</f>
        <v>0.11029774384716899</v>
      </c>
      <c r="AW116" s="609">
        <f t="shared" si="587"/>
        <v>0.39482822770680887</v>
      </c>
      <c r="AX116" s="609">
        <f t="shared" ref="AX116" si="588">+AX113/AX107</f>
        <v>8.5785641210808214E-2</v>
      </c>
      <c r="AY116" s="609">
        <f t="shared" ref="AY116:AZ116" si="589">+AY113/AY107</f>
        <v>9.0180494406007589E-2</v>
      </c>
      <c r="AZ116" s="609">
        <f t="shared" si="589"/>
        <v>0.10348879577336491</v>
      </c>
      <c r="BA116" s="560">
        <f t="shared" ref="BA116" si="590">+BA113/BA107</f>
        <v>0.16435700874573173</v>
      </c>
      <c r="BB116" s="306">
        <f t="shared" ref="BB116:BF116" si="591">+BB113/BB107</f>
        <v>0.10355316522659143</v>
      </c>
      <c r="BC116" s="306">
        <f t="shared" si="591"/>
        <v>0.10692867807128023</v>
      </c>
      <c r="BD116" s="306">
        <f t="shared" ref="BD116" si="592">+BD113/BD107</f>
        <v>0.10585293204099999</v>
      </c>
      <c r="BE116" s="306">
        <f t="shared" si="591"/>
        <v>0.11885455754342793</v>
      </c>
      <c r="BF116" s="560">
        <f t="shared" si="591"/>
        <v>0.10905756927895974</v>
      </c>
      <c r="BG116" s="306">
        <f t="shared" ref="BG116:BK116" si="593">+BG113/BG107</f>
        <v>0.12268619483789016</v>
      </c>
      <c r="BH116" s="306">
        <f t="shared" si="593"/>
        <v>0.11664686718801245</v>
      </c>
      <c r="BI116" s="306">
        <f t="shared" si="593"/>
        <v>0.13044029409279134</v>
      </c>
      <c r="BJ116" s="306">
        <f t="shared" si="593"/>
        <v>0.12809711558414608</v>
      </c>
      <c r="BK116" s="560">
        <f t="shared" si="593"/>
        <v>0.12458833671802012</v>
      </c>
      <c r="BL116" s="306">
        <f t="shared" ref="BL116:BP116" si="594">+BL113/BL107</f>
        <v>0.1305236445938068</v>
      </c>
      <c r="BM116" s="306">
        <f t="shared" si="594"/>
        <v>0.1148963068563897</v>
      </c>
      <c r="BN116" s="306">
        <f t="shared" si="594"/>
        <v>0.1321725906139718</v>
      </c>
      <c r="BO116" s="306">
        <f t="shared" si="594"/>
        <v>0.12990055970500844</v>
      </c>
      <c r="BP116" s="560">
        <f t="shared" si="594"/>
        <v>0.12695306392174741</v>
      </c>
      <c r="BQ116" s="306">
        <f t="shared" ref="BQ116" si="595">+BQ113/BQ107</f>
        <v>0.11769929768166155</v>
      </c>
      <c r="BR116" s="306">
        <f t="shared" ref="BR116:BU116" si="596">+BR113/BR107</f>
        <v>0.10999500188952957</v>
      </c>
      <c r="BS116" s="306">
        <f t="shared" si="596"/>
        <v>0.11447357577612696</v>
      </c>
      <c r="BT116" s="306">
        <f t="shared" si="596"/>
        <v>0.11782727262354377</v>
      </c>
      <c r="BU116" s="560">
        <f t="shared" si="596"/>
        <v>0.11502484588081449</v>
      </c>
      <c r="BV116" s="306">
        <f t="shared" ref="BV116:BZ116" si="597">+BV113/BV107</f>
        <v>0.11</v>
      </c>
      <c r="BW116" s="306">
        <f t="shared" si="597"/>
        <v>0.11</v>
      </c>
      <c r="BX116" s="306">
        <f t="shared" si="597"/>
        <v>0.105</v>
      </c>
      <c r="BY116" s="306">
        <f t="shared" si="597"/>
        <v>0.1</v>
      </c>
      <c r="BZ116" s="560">
        <f t="shared" si="597"/>
        <v>0.10613147757814147</v>
      </c>
      <c r="CA116" s="306">
        <f t="shared" ref="CA116:CE116" si="598">+CA113/CA107</f>
        <v>0.1</v>
      </c>
      <c r="CB116" s="306">
        <f t="shared" si="598"/>
        <v>0.1</v>
      </c>
      <c r="CC116" s="306">
        <f t="shared" si="598"/>
        <v>0.1</v>
      </c>
      <c r="CD116" s="306">
        <f t="shared" si="598"/>
        <v>9.5000000000000001E-2</v>
      </c>
      <c r="CE116" s="560">
        <f t="shared" si="598"/>
        <v>9.8707960511620549E-2</v>
      </c>
    </row>
    <row r="117" spans="1:83" ht="14.65" thickBot="1">
      <c r="B117" s="316" t="s">
        <v>214</v>
      </c>
      <c r="C117" s="375"/>
      <c r="D117" s="376"/>
      <c r="E117" s="376"/>
      <c r="F117" s="376"/>
      <c r="G117" s="376"/>
      <c r="H117" s="376"/>
      <c r="I117" s="376"/>
      <c r="J117" s="376"/>
      <c r="K117" s="376"/>
      <c r="L117" s="376"/>
      <c r="M117" s="376"/>
      <c r="N117" s="376"/>
      <c r="O117" s="376"/>
      <c r="P117" s="376"/>
      <c r="Q117" s="376"/>
      <c r="R117" s="616"/>
      <c r="S117" s="617"/>
      <c r="T117" s="617"/>
      <c r="U117" s="617"/>
      <c r="V117" s="617"/>
      <c r="W117" s="618"/>
      <c r="X117" s="619"/>
      <c r="Y117" s="620"/>
      <c r="Z117" s="620"/>
      <c r="AA117" s="620"/>
      <c r="AB117" s="616"/>
      <c r="AC117" s="620"/>
      <c r="AD117" s="620"/>
      <c r="AE117" s="620"/>
      <c r="AF117" s="620"/>
      <c r="AG117" s="616"/>
      <c r="AH117" s="619"/>
      <c r="AI117" s="620"/>
      <c r="AJ117" s="620"/>
      <c r="AK117" s="620"/>
      <c r="AL117" s="616"/>
      <c r="AM117" s="619"/>
      <c r="AN117" s="620"/>
      <c r="AO117" s="620"/>
      <c r="AP117" s="620"/>
      <c r="AQ117" s="616"/>
      <c r="AR117" s="619"/>
      <c r="AS117" s="620"/>
      <c r="AT117" s="620"/>
      <c r="AU117" s="620"/>
      <c r="AV117" s="616"/>
      <c r="AW117" s="619"/>
      <c r="AX117" s="619"/>
      <c r="AY117" s="619"/>
      <c r="AZ117" s="619"/>
      <c r="BA117" s="564"/>
      <c r="BB117" s="317"/>
      <c r="BC117" s="317"/>
      <c r="BD117" s="317"/>
      <c r="BE117" s="317"/>
      <c r="BF117" s="564"/>
      <c r="BG117" s="317"/>
      <c r="BH117" s="317"/>
      <c r="BI117" s="317"/>
      <c r="BJ117" s="317"/>
      <c r="BK117" s="564"/>
      <c r="BL117" s="317"/>
      <c r="BM117" s="317"/>
      <c r="BN117" s="317"/>
      <c r="BO117" s="317"/>
      <c r="BP117" s="564"/>
      <c r="BQ117" s="317">
        <v>0.12</v>
      </c>
      <c r="BR117" s="317">
        <v>0.12</v>
      </c>
      <c r="BS117" s="317">
        <v>0.12</v>
      </c>
      <c r="BT117" s="317">
        <v>0.115</v>
      </c>
      <c r="BU117" s="564"/>
      <c r="BV117" s="317">
        <v>0.11</v>
      </c>
      <c r="BW117" s="317">
        <v>0.11</v>
      </c>
      <c r="BX117" s="317">
        <v>0.105</v>
      </c>
      <c r="BY117" s="317">
        <v>0.1</v>
      </c>
      <c r="BZ117" s="564"/>
      <c r="CA117" s="317">
        <v>0.1</v>
      </c>
      <c r="CB117" s="317">
        <v>0.1</v>
      </c>
      <c r="CC117" s="317">
        <v>0.1</v>
      </c>
      <c r="CD117" s="317">
        <v>9.5000000000000001E-2</v>
      </c>
      <c r="CE117" s="564"/>
    </row>
    <row r="122" spans="1:83">
      <c r="BG122" s="700"/>
    </row>
    <row r="123" spans="1:83">
      <c r="B123" s="308" t="s">
        <v>430</v>
      </c>
      <c r="BA123" s="699">
        <v>10000</v>
      </c>
      <c r="BG123" s="701">
        <f>BA123</f>
        <v>10000</v>
      </c>
      <c r="BL123" s="701">
        <f>10000</f>
        <v>10000</v>
      </c>
    </row>
    <row r="124" spans="1:83">
      <c r="B124" s="308"/>
      <c r="BA124" s="699"/>
      <c r="BG124" s="701"/>
      <c r="BL124" s="701"/>
    </row>
    <row r="125" spans="1:83">
      <c r="B125" s="308" t="s">
        <v>488</v>
      </c>
      <c r="C125" s="308"/>
      <c r="D125" s="720"/>
      <c r="E125" s="720"/>
      <c r="F125" s="720"/>
      <c r="G125" s="720"/>
      <c r="H125" s="720"/>
      <c r="I125" s="720"/>
      <c r="J125" s="720"/>
      <c r="K125" s="720"/>
      <c r="L125" s="720"/>
      <c r="M125" s="720"/>
      <c r="N125" s="720"/>
      <c r="O125" s="720"/>
      <c r="P125" s="720"/>
      <c r="Q125" s="720"/>
      <c r="R125" s="720"/>
      <c r="S125" s="720"/>
      <c r="T125" s="720"/>
      <c r="U125" s="720"/>
      <c r="V125" s="720"/>
      <c r="W125" s="720"/>
      <c r="X125" s="720"/>
      <c r="Y125" s="720"/>
      <c r="Z125" s="720"/>
      <c r="AA125" s="720"/>
      <c r="AB125" s="720"/>
      <c r="AC125" s="720"/>
      <c r="AD125" s="720"/>
      <c r="AE125" s="720"/>
      <c r="AF125" s="720"/>
      <c r="AG125" s="720"/>
      <c r="AH125" s="720"/>
      <c r="AI125" s="720"/>
      <c r="AJ125" s="720"/>
      <c r="AK125" s="720"/>
      <c r="AL125" s="720"/>
      <c r="AM125" s="720"/>
      <c r="AN125" s="720"/>
      <c r="AO125" s="720"/>
      <c r="AP125" s="720"/>
      <c r="AQ125" s="720"/>
      <c r="AR125" s="720"/>
      <c r="AS125" s="720"/>
      <c r="AT125" s="720"/>
      <c r="AU125" s="720"/>
      <c r="AV125" s="720"/>
      <c r="AW125" s="720"/>
      <c r="AX125" s="720"/>
      <c r="AY125" s="720"/>
      <c r="AZ125" s="720"/>
      <c r="BA125" s="721"/>
      <c r="BB125" s="722">
        <v>128</v>
      </c>
      <c r="BC125" s="722">
        <v>138.84297520661158</v>
      </c>
      <c r="BD125" s="722">
        <v>151.30434782608697</v>
      </c>
      <c r="BE125" s="722">
        <v>160.52631578947367</v>
      </c>
      <c r="BF125" s="720"/>
      <c r="BG125" s="722">
        <v>162</v>
      </c>
      <c r="BH125" s="722">
        <v>168</v>
      </c>
      <c r="BI125" s="722">
        <v>174</v>
      </c>
      <c r="BJ125" s="722">
        <v>183</v>
      </c>
      <c r="BK125" s="720"/>
      <c r="BL125" s="722">
        <v>192</v>
      </c>
      <c r="BM125" s="722">
        <v>199</v>
      </c>
      <c r="BN125" s="722">
        <v>200</v>
      </c>
      <c r="BO125" s="722">
        <v>207</v>
      </c>
    </row>
    <row r="126" spans="1:83">
      <c r="B126" s="273" t="s">
        <v>128</v>
      </c>
      <c r="BA126" s="699"/>
      <c r="BG126" s="261">
        <f>BG125/BB125-1</f>
        <v>0.265625</v>
      </c>
      <c r="BH126" s="261">
        <f>BH125/BC125-1</f>
        <v>0.20999999999999996</v>
      </c>
      <c r="BI126" s="261">
        <f>BI125/BD125-1</f>
        <v>0.14999999999999991</v>
      </c>
      <c r="BJ126" s="261">
        <f>BJ125/BE125-1</f>
        <v>0.14000000000000012</v>
      </c>
      <c r="BL126" s="261">
        <f>BL125/BG125-1</f>
        <v>0.18518518518518512</v>
      </c>
      <c r="BM126" s="261">
        <f>BM125/BH125-1</f>
        <v>0.18452380952380953</v>
      </c>
      <c r="BN126" s="261">
        <f>BN125/BI125-1</f>
        <v>0.14942528735632177</v>
      </c>
      <c r="BO126" s="261">
        <f>BO125/BJ125-1</f>
        <v>0.13114754098360648</v>
      </c>
    </row>
    <row r="127" spans="1:83">
      <c r="B127" s="273" t="s">
        <v>129</v>
      </c>
      <c r="BA127" s="699"/>
      <c r="BC127" s="261">
        <f>BC125/BB125-1</f>
        <v>8.4710743801652999E-2</v>
      </c>
      <c r="BD127" s="261">
        <f>BD125/BC125-1</f>
        <v>8.9751552795030998E-2</v>
      </c>
      <c r="BE127" s="261">
        <f>BE125/BD125-1</f>
        <v>6.0949788263762628E-2</v>
      </c>
      <c r="BG127" s="261">
        <f>BG125/BE125-1</f>
        <v>9.1803278688524781E-3</v>
      </c>
      <c r="BH127" s="261">
        <f>BH125/BG125-1</f>
        <v>3.7037037037036979E-2</v>
      </c>
      <c r="BI127" s="261">
        <f>BI125/BH125-1</f>
        <v>3.5714285714285809E-2</v>
      </c>
      <c r="BJ127" s="261">
        <f>BJ125/BI125-1</f>
        <v>5.1724137931034475E-2</v>
      </c>
      <c r="BL127" s="261">
        <f>BL125/BJ125-1</f>
        <v>4.9180327868852514E-2</v>
      </c>
      <c r="BM127" s="261">
        <f>BM125/BL125-1</f>
        <v>3.6458333333333259E-2</v>
      </c>
      <c r="BN127" s="261">
        <f>BN125/BM125-1</f>
        <v>5.0251256281406143E-3</v>
      </c>
      <c r="BO127" s="261">
        <f>BO125/BN125-1</f>
        <v>3.499999999999992E-2</v>
      </c>
    </row>
    <row r="129" spans="2:83">
      <c r="B129" s="308" t="s">
        <v>433</v>
      </c>
      <c r="BB129" s="720">
        <v>0.4</v>
      </c>
      <c r="BC129" s="720">
        <v>0.43</v>
      </c>
      <c r="BD129" s="720">
        <v>0.45</v>
      </c>
      <c r="BE129" s="720">
        <v>0.48</v>
      </c>
      <c r="BF129" s="720">
        <f>BE129</f>
        <v>0.48</v>
      </c>
      <c r="BG129" s="720">
        <v>0.5</v>
      </c>
      <c r="BH129" s="720">
        <v>0.52</v>
      </c>
      <c r="BI129" s="720">
        <v>0.54</v>
      </c>
      <c r="BJ129" s="720">
        <v>0.56000000000000005</v>
      </c>
      <c r="BK129" s="720"/>
      <c r="BL129" s="720">
        <v>0.56999999999999995</v>
      </c>
      <c r="BM129" s="720">
        <v>0.56999999999999995</v>
      </c>
      <c r="BN129" s="720">
        <v>0.57999999999999996</v>
      </c>
    </row>
    <row r="131" spans="2:83" hidden="1" outlineLevel="1"/>
    <row r="132" spans="2:83" hidden="1" outlineLevel="1"/>
    <row r="133" spans="2:83" hidden="1" outlineLevel="1"/>
    <row r="134" spans="2:83" hidden="1" outlineLevel="1">
      <c r="B134" t="s">
        <v>463</v>
      </c>
      <c r="AW134" s="261">
        <f>AU137/BA134</f>
        <v>0.25759051186017479</v>
      </c>
      <c r="BA134" s="699">
        <f>400500</f>
        <v>400500</v>
      </c>
      <c r="BB134" s="261">
        <f>AZ137/BF134</f>
        <v>0.29537125129265768</v>
      </c>
      <c r="BF134" s="699">
        <f>483500</f>
        <v>483500</v>
      </c>
    </row>
    <row r="135" spans="2:83" collapsed="1">
      <c r="BF135" s="708"/>
    </row>
    <row r="136" spans="2:83">
      <c r="B136" s="151" t="s">
        <v>443</v>
      </c>
      <c r="AR136" s="699"/>
      <c r="AS136" s="699"/>
      <c r="AT136" s="699"/>
      <c r="AU136" s="699"/>
      <c r="AV136" s="699"/>
      <c r="AW136" s="699">
        <f>220861</f>
        <v>220861</v>
      </c>
      <c r="AX136" s="699">
        <f>225703</f>
        <v>225703</v>
      </c>
      <c r="AY136" s="699">
        <f>248488</f>
        <v>248488</v>
      </c>
      <c r="AZ136" s="699">
        <f>283687</f>
        <v>283687</v>
      </c>
      <c r="BA136" s="699"/>
      <c r="BB136" s="699">
        <f>281153</f>
        <v>281153</v>
      </c>
      <c r="BC136" s="699">
        <f>270161</f>
        <v>270161</v>
      </c>
      <c r="BD136" s="699">
        <f>259151</f>
        <v>259151</v>
      </c>
      <c r="BE136" s="699">
        <f>272131</f>
        <v>272131</v>
      </c>
      <c r="BF136" s="699"/>
      <c r="BG136" s="699">
        <f>292032</f>
        <v>292032</v>
      </c>
      <c r="BH136" s="699">
        <f>320786</f>
        <v>320786</v>
      </c>
      <c r="BI136" s="699">
        <f>330690</f>
        <v>330690</v>
      </c>
      <c r="BJ136" s="699">
        <f>374415</f>
        <v>374415</v>
      </c>
      <c r="BK136" s="699"/>
      <c r="BL136" s="699">
        <f>376752</f>
        <v>376752</v>
      </c>
      <c r="BM136" s="699">
        <f>364869</f>
        <v>364869</v>
      </c>
      <c r="BN136" s="699">
        <f>383301</f>
        <v>383301</v>
      </c>
      <c r="BO136" s="699">
        <f>BN136*(1+BO157)</f>
        <v>431213.625</v>
      </c>
      <c r="BP136" s="699"/>
      <c r="BQ136" s="699">
        <f>427606</f>
        <v>427606</v>
      </c>
      <c r="BR136" s="699"/>
      <c r="BS136" s="699"/>
      <c r="BT136" s="699"/>
      <c r="BU136" s="699"/>
      <c r="BV136" s="699"/>
      <c r="BW136" s="699"/>
      <c r="BX136" s="699"/>
      <c r="BY136" s="699"/>
      <c r="BZ136" s="699"/>
      <c r="CA136" s="699"/>
      <c r="CB136" s="699"/>
      <c r="CC136" s="699"/>
      <c r="CD136" s="699"/>
      <c r="CE136" s="699"/>
    </row>
    <row r="137" spans="2:83">
      <c r="B137" s="151" t="s">
        <v>444</v>
      </c>
      <c r="AR137" s="699"/>
      <c r="AS137" s="699"/>
      <c r="AT137" s="699"/>
      <c r="AU137" s="699">
        <f>103165</f>
        <v>103165</v>
      </c>
      <c r="AV137" s="699"/>
      <c r="AW137" s="699">
        <f>AW146*AW136</f>
        <v>114847.72</v>
      </c>
      <c r="AX137" s="699">
        <f>AX146*AX136</f>
        <v>119622.59000000001</v>
      </c>
      <c r="AY137" s="699">
        <f>AY146*AY136</f>
        <v>129213.76000000001</v>
      </c>
      <c r="AZ137" s="699">
        <f>142812</f>
        <v>142812</v>
      </c>
      <c r="BA137" s="699"/>
      <c r="BB137" s="699">
        <f>BB136*BB146</f>
        <v>163068.74</v>
      </c>
      <c r="BC137" s="699">
        <f>BC136*BC146</f>
        <v>156693.37999999998</v>
      </c>
      <c r="BD137" s="699">
        <f>BD136*BD146</f>
        <v>150307.57999999999</v>
      </c>
      <c r="BE137" s="699">
        <f>158607</f>
        <v>158607</v>
      </c>
      <c r="BF137" s="699"/>
      <c r="BG137" s="699">
        <f>BG136*BG146</f>
        <v>169378.56</v>
      </c>
      <c r="BH137" s="699">
        <f>99287+(135152/2)</f>
        <v>166863</v>
      </c>
      <c r="BI137" s="699">
        <f>54190+(162095*0.75)</f>
        <v>175761.25</v>
      </c>
      <c r="BJ137" s="699">
        <f>200872</f>
        <v>200872</v>
      </c>
      <c r="BK137" s="699"/>
      <c r="BL137" s="699">
        <f>(163231)+(141528*0.25)</f>
        <v>198613</v>
      </c>
      <c r="BM137" s="699">
        <f>111389+(0.5*160431)</f>
        <v>191604.5</v>
      </c>
      <c r="BN137" s="699">
        <f>63367+(0.75*193560)</f>
        <v>208537</v>
      </c>
      <c r="BO137" s="699">
        <f>BO136*BO146</f>
        <v>235011.425625</v>
      </c>
      <c r="BP137" s="699"/>
      <c r="BQ137" s="699">
        <f>194363</f>
        <v>194363</v>
      </c>
      <c r="BR137" s="699"/>
      <c r="BS137" s="699"/>
      <c r="BT137" s="699"/>
      <c r="BU137" s="699"/>
      <c r="BV137" s="699"/>
      <c r="BW137" s="699"/>
      <c r="BX137" s="699"/>
      <c r="BY137" s="699"/>
      <c r="BZ137" s="699"/>
      <c r="CA137" s="699"/>
      <c r="CB137" s="699"/>
      <c r="CC137" s="699"/>
      <c r="CD137" s="699"/>
      <c r="CE137" s="699"/>
    </row>
    <row r="138" spans="2:83">
      <c r="B138" s="151" t="s">
        <v>446</v>
      </c>
      <c r="AV138" s="699"/>
      <c r="AW138" s="699"/>
      <c r="AX138" s="699"/>
      <c r="AY138" s="699"/>
      <c r="AZ138" s="699"/>
      <c r="BA138" s="699"/>
      <c r="BB138" s="699"/>
      <c r="BC138" s="699"/>
      <c r="BD138" s="699"/>
      <c r="BE138" s="699">
        <f>82902</f>
        <v>82902</v>
      </c>
      <c r="BF138" s="699"/>
      <c r="BG138" s="699"/>
      <c r="BH138" s="699">
        <f>(135152/2)+(70396/2)</f>
        <v>102774</v>
      </c>
      <c r="BI138" s="699">
        <f>(162095*0.25)+(0.75*88045)</f>
        <v>106557.5</v>
      </c>
      <c r="BJ138" s="699">
        <f>122465</f>
        <v>122465</v>
      </c>
      <c r="BK138" s="699"/>
      <c r="BL138" s="699">
        <f>(0.75*141528)+(0.25*63966)</f>
        <v>122137.5</v>
      </c>
      <c r="BM138" s="699">
        <f>(0.5*160431)+(0.5*78439)</f>
        <v>119435</v>
      </c>
      <c r="BN138" s="699">
        <f>(193560*0.25)+(0.75*100797)</f>
        <v>123987.75</v>
      </c>
      <c r="BO138" s="699">
        <f>BO136*BO147</f>
        <v>137988.36000000002</v>
      </c>
      <c r="BP138" s="699"/>
      <c r="BQ138" s="699">
        <f>157673</f>
        <v>157673</v>
      </c>
      <c r="BR138" s="699"/>
      <c r="BS138" s="699"/>
      <c r="BT138" s="699"/>
      <c r="BU138" s="699"/>
      <c r="BV138" s="699"/>
      <c r="BW138" s="699"/>
      <c r="BX138" s="699"/>
      <c r="BY138" s="699"/>
      <c r="BZ138" s="699"/>
      <c r="CA138" s="699"/>
      <c r="CB138" s="699"/>
      <c r="CC138" s="699"/>
      <c r="CD138" s="699"/>
      <c r="CE138" s="699"/>
    </row>
    <row r="139" spans="2:83">
      <c r="B139" s="151" t="s">
        <v>445</v>
      </c>
      <c r="AV139" s="699"/>
      <c r="AW139" s="699">
        <f>AW136-AW137-AW138</f>
        <v>106013.28</v>
      </c>
      <c r="AX139" s="699">
        <f>AX136-AX137-AX138</f>
        <v>106080.40999999999</v>
      </c>
      <c r="AY139" s="699">
        <f>AY136-AY137-AY138</f>
        <v>119274.23999999999</v>
      </c>
      <c r="AZ139" s="699">
        <f>AZ136-AZ137-AZ138</f>
        <v>140875</v>
      </c>
      <c r="BA139" s="699"/>
      <c r="BB139" s="699">
        <f>BB136-BB137-BB138</f>
        <v>118084.26000000001</v>
      </c>
      <c r="BC139" s="699">
        <f>BC136-BC137-BC138</f>
        <v>113467.62000000002</v>
      </c>
      <c r="BD139" s="699">
        <f>BD136-BD137-BD138</f>
        <v>108843.42000000001</v>
      </c>
      <c r="BE139" s="699">
        <f>BE136-BE137-BE138</f>
        <v>30622</v>
      </c>
      <c r="BF139" s="699"/>
      <c r="BG139" s="699"/>
      <c r="BH139" s="699">
        <f>BH136-BH137-BH138</f>
        <v>51149</v>
      </c>
      <c r="BI139" s="699">
        <f>BI136-BI137-BI138</f>
        <v>48371.25</v>
      </c>
      <c r="BJ139" s="699">
        <f>BJ136-BJ137-BJ138</f>
        <v>51078</v>
      </c>
      <c r="BK139" s="699"/>
      <c r="BL139" s="699">
        <f>BL136-BL137-BL138</f>
        <v>56001.5</v>
      </c>
      <c r="BM139" s="699">
        <f>BM136-BM137-BM138</f>
        <v>53829.5</v>
      </c>
      <c r="BN139" s="699">
        <f>BN136-BN137-BN138</f>
        <v>50776.25</v>
      </c>
      <c r="BO139" s="699">
        <f>BO136-BO137-BO138</f>
        <v>58213.839374999981</v>
      </c>
      <c r="BP139" s="699"/>
      <c r="BQ139" s="699">
        <f>69651</f>
        <v>69651</v>
      </c>
      <c r="BR139" s="699"/>
      <c r="BS139" s="699"/>
      <c r="BT139" s="699"/>
      <c r="BU139" s="699"/>
      <c r="BV139" s="699"/>
      <c r="BW139" s="699"/>
      <c r="BX139" s="699"/>
      <c r="BY139" s="699"/>
      <c r="BZ139" s="699"/>
      <c r="CA139" s="699"/>
      <c r="CB139" s="699"/>
      <c r="CC139" s="699"/>
      <c r="CD139" s="699"/>
      <c r="CE139" s="699"/>
    </row>
    <row r="140" spans="2:83">
      <c r="B140" s="151"/>
      <c r="AV140" s="699"/>
      <c r="AW140" s="699"/>
      <c r="AX140" s="699"/>
      <c r="AY140" s="699"/>
      <c r="AZ140" s="699"/>
      <c r="BA140" s="699"/>
      <c r="BB140" s="699"/>
      <c r="BC140" s="699"/>
      <c r="BD140" s="699"/>
      <c r="BE140" s="699"/>
      <c r="BF140" s="699"/>
      <c r="BG140" s="699"/>
      <c r="BH140" s="699"/>
      <c r="BI140" s="699"/>
      <c r="BJ140" s="699"/>
      <c r="BK140" s="699"/>
      <c r="BL140" s="699"/>
      <c r="BM140" s="699"/>
      <c r="BN140" s="699"/>
      <c r="BO140" s="699"/>
      <c r="BP140" s="699"/>
      <c r="BQ140" s="699"/>
      <c r="BR140" s="699"/>
      <c r="BS140" s="699"/>
      <c r="BT140" s="699"/>
      <c r="BU140" s="699"/>
      <c r="BV140" s="699"/>
      <c r="BW140" s="699"/>
      <c r="BX140" s="699"/>
      <c r="BY140" s="699"/>
      <c r="BZ140" s="699"/>
      <c r="CA140" s="699"/>
      <c r="CB140" s="699"/>
      <c r="CC140" s="699"/>
      <c r="CD140" s="699"/>
      <c r="CE140" s="699"/>
    </row>
    <row r="141" spans="2:83">
      <c r="B141" s="151" t="s">
        <v>497</v>
      </c>
      <c r="AV141" s="699"/>
      <c r="AW141" s="699">
        <f>AW136-AU136</f>
        <v>220861</v>
      </c>
      <c r="AX141" s="699">
        <f t="shared" ref="AX141:AZ144" si="599">AX136-AW136</f>
        <v>4842</v>
      </c>
      <c r="AY141" s="699">
        <f t="shared" si="599"/>
        <v>22785</v>
      </c>
      <c r="AZ141" s="699">
        <f t="shared" si="599"/>
        <v>35199</v>
      </c>
      <c r="BA141" s="699"/>
      <c r="BB141" s="699">
        <f>BB136-AZ136</f>
        <v>-2534</v>
      </c>
      <c r="BC141" s="699">
        <f t="shared" ref="BC141:BE144" si="600">BC136-BB136</f>
        <v>-10992</v>
      </c>
      <c r="BD141" s="699">
        <f t="shared" si="600"/>
        <v>-11010</v>
      </c>
      <c r="BE141" s="699">
        <f t="shared" si="600"/>
        <v>12980</v>
      </c>
      <c r="BF141" s="699"/>
      <c r="BG141" s="699">
        <f>BG136-BE136</f>
        <v>19901</v>
      </c>
      <c r="BH141" s="699">
        <f t="shared" ref="BH141:BJ144" si="601">BH136-BG136</f>
        <v>28754</v>
      </c>
      <c r="BI141" s="699">
        <f t="shared" si="601"/>
        <v>9904</v>
      </c>
      <c r="BJ141" s="699">
        <f t="shared" si="601"/>
        <v>43725</v>
      </c>
      <c r="BK141" s="699"/>
      <c r="BL141" s="699">
        <f>BL136-BJ136</f>
        <v>2337</v>
      </c>
      <c r="BM141" s="699">
        <f t="shared" ref="BM141:BO144" si="602">BM136-BL136</f>
        <v>-11883</v>
      </c>
      <c r="BN141" s="699">
        <f t="shared" si="602"/>
        <v>18432</v>
      </c>
      <c r="BO141" s="699">
        <f t="shared" si="602"/>
        <v>47912.625</v>
      </c>
      <c r="BP141" s="699"/>
      <c r="BQ141" s="699">
        <f>BQ136-BO136</f>
        <v>-3607.625</v>
      </c>
      <c r="BR141" s="699"/>
      <c r="BS141" s="699"/>
      <c r="BT141" s="699"/>
      <c r="BU141" s="699"/>
      <c r="BV141" s="699"/>
      <c r="BW141" s="699"/>
      <c r="BX141" s="699"/>
      <c r="BY141" s="699"/>
      <c r="BZ141" s="699"/>
      <c r="CA141" s="699"/>
      <c r="CB141" s="699"/>
      <c r="CC141" s="699"/>
      <c r="CD141" s="699"/>
      <c r="CE141" s="699"/>
    </row>
    <row r="142" spans="2:83">
      <c r="B142" s="151" t="s">
        <v>498</v>
      </c>
      <c r="AV142" s="699"/>
      <c r="AW142" s="699">
        <f>AW137-AU137</f>
        <v>11682.720000000001</v>
      </c>
      <c r="AX142" s="699">
        <f t="shared" si="599"/>
        <v>4774.8700000000099</v>
      </c>
      <c r="AY142" s="699">
        <f t="shared" si="599"/>
        <v>9591.1699999999983</v>
      </c>
      <c r="AZ142" s="699">
        <f t="shared" si="599"/>
        <v>13598.239999999991</v>
      </c>
      <c r="BA142" s="699"/>
      <c r="BB142" s="699">
        <f>BB137-AZ137</f>
        <v>20256.739999999991</v>
      </c>
      <c r="BC142" s="699">
        <f t="shared" si="600"/>
        <v>-6375.3600000000151</v>
      </c>
      <c r="BD142" s="699">
        <f t="shared" si="600"/>
        <v>-6385.7999999999884</v>
      </c>
      <c r="BE142" s="699">
        <f t="shared" si="600"/>
        <v>8299.4200000000128</v>
      </c>
      <c r="BF142" s="699"/>
      <c r="BG142" s="699">
        <f>BG137-BE137</f>
        <v>10771.559999999998</v>
      </c>
      <c r="BH142" s="699">
        <f t="shared" si="601"/>
        <v>-2515.5599999999977</v>
      </c>
      <c r="BI142" s="699">
        <f t="shared" si="601"/>
        <v>8898.25</v>
      </c>
      <c r="BJ142" s="699">
        <f t="shared" si="601"/>
        <v>25110.75</v>
      </c>
      <c r="BK142" s="699"/>
      <c r="BL142" s="699">
        <f>BL137-BJ137</f>
        <v>-2259</v>
      </c>
      <c r="BM142" s="699">
        <f t="shared" si="602"/>
        <v>-7008.5</v>
      </c>
      <c r="BN142" s="699">
        <f t="shared" si="602"/>
        <v>16932.5</v>
      </c>
      <c r="BO142" s="699">
        <f t="shared" si="602"/>
        <v>26474.425625000003</v>
      </c>
      <c r="BP142" s="699"/>
      <c r="BQ142" s="699">
        <f>BQ137-BO137</f>
        <v>-40648.425625000003</v>
      </c>
      <c r="BR142" s="699"/>
      <c r="BS142" s="699"/>
      <c r="BT142" s="699"/>
      <c r="BU142" s="699"/>
      <c r="BV142" s="699"/>
      <c r="BW142" s="699"/>
      <c r="BX142" s="699"/>
      <c r="BY142" s="699"/>
      <c r="BZ142" s="699"/>
      <c r="CA142" s="699"/>
      <c r="CB142" s="699"/>
      <c r="CC142" s="699"/>
      <c r="CD142" s="699"/>
      <c r="CE142" s="699"/>
    </row>
    <row r="143" spans="2:83">
      <c r="B143" s="151" t="s">
        <v>499</v>
      </c>
      <c r="AV143" s="699"/>
      <c r="AW143" s="699">
        <f>AW138-AU138</f>
        <v>0</v>
      </c>
      <c r="AX143" s="699">
        <f t="shared" si="599"/>
        <v>0</v>
      </c>
      <c r="AY143" s="699">
        <f t="shared" si="599"/>
        <v>0</v>
      </c>
      <c r="AZ143" s="699">
        <f t="shared" si="599"/>
        <v>0</v>
      </c>
      <c r="BA143" s="699"/>
      <c r="BB143" s="699">
        <f>BB138-AZ138</f>
        <v>0</v>
      </c>
      <c r="BC143" s="699">
        <f t="shared" si="600"/>
        <v>0</v>
      </c>
      <c r="BD143" s="699">
        <f t="shared" si="600"/>
        <v>0</v>
      </c>
      <c r="BE143" s="699">
        <f t="shared" si="600"/>
        <v>82902</v>
      </c>
      <c r="BF143" s="699"/>
      <c r="BG143" s="699">
        <f>BG138-BE138</f>
        <v>-82902</v>
      </c>
      <c r="BH143" s="699">
        <f t="shared" si="601"/>
        <v>102774</v>
      </c>
      <c r="BI143" s="699">
        <f t="shared" si="601"/>
        <v>3783.5</v>
      </c>
      <c r="BJ143" s="699">
        <f t="shared" si="601"/>
        <v>15907.5</v>
      </c>
      <c r="BK143" s="699"/>
      <c r="BL143" s="699">
        <f>BL138-BJ138</f>
        <v>-327.5</v>
      </c>
      <c r="BM143" s="699">
        <f t="shared" si="602"/>
        <v>-2702.5</v>
      </c>
      <c r="BN143" s="699">
        <f t="shared" si="602"/>
        <v>4552.75</v>
      </c>
      <c r="BO143" s="699">
        <f t="shared" si="602"/>
        <v>14000.610000000015</v>
      </c>
      <c r="BP143" s="699"/>
      <c r="BQ143" s="699">
        <f>BQ138-BO138</f>
        <v>19684.639999999985</v>
      </c>
      <c r="BR143" s="699"/>
      <c r="BS143" s="699"/>
      <c r="BT143" s="699"/>
      <c r="BU143" s="699"/>
      <c r="BV143" s="699"/>
      <c r="BW143" s="699"/>
      <c r="BX143" s="699"/>
      <c r="BY143" s="699"/>
      <c r="BZ143" s="699"/>
      <c r="CA143" s="699"/>
      <c r="CB143" s="699"/>
      <c r="CC143" s="699"/>
      <c r="CD143" s="699"/>
      <c r="CE143" s="699"/>
    </row>
    <row r="144" spans="2:83">
      <c r="B144" s="151" t="s">
        <v>500</v>
      </c>
      <c r="AV144" s="699"/>
      <c r="AW144" s="699">
        <f>AW139-AU139</f>
        <v>106013.28</v>
      </c>
      <c r="AX144" s="699">
        <f t="shared" si="599"/>
        <v>67.129999999990105</v>
      </c>
      <c r="AY144" s="699">
        <f t="shared" si="599"/>
        <v>13193.830000000002</v>
      </c>
      <c r="AZ144" s="699">
        <f t="shared" si="599"/>
        <v>21600.760000000009</v>
      </c>
      <c r="BA144" s="699"/>
      <c r="BB144" s="699">
        <f>BB139-AZ139</f>
        <v>-22790.739999999991</v>
      </c>
      <c r="BC144" s="699">
        <f t="shared" si="600"/>
        <v>-4616.6399999999849</v>
      </c>
      <c r="BD144" s="699">
        <f t="shared" si="600"/>
        <v>-4624.2000000000116</v>
      </c>
      <c r="BE144" s="699">
        <f t="shared" si="600"/>
        <v>-78221.420000000013</v>
      </c>
      <c r="BF144" s="699"/>
      <c r="BG144" s="699">
        <f>BG139-BE139</f>
        <v>-30622</v>
      </c>
      <c r="BH144" s="699">
        <f t="shared" si="601"/>
        <v>51149</v>
      </c>
      <c r="BI144" s="699">
        <f t="shared" si="601"/>
        <v>-2777.75</v>
      </c>
      <c r="BJ144" s="699">
        <f t="shared" si="601"/>
        <v>2706.75</v>
      </c>
      <c r="BK144" s="699"/>
      <c r="BL144" s="699">
        <f>BL139-BJ139</f>
        <v>4923.5</v>
      </c>
      <c r="BM144" s="699">
        <f t="shared" si="602"/>
        <v>-2172</v>
      </c>
      <c r="BN144" s="699">
        <f t="shared" si="602"/>
        <v>-3053.25</v>
      </c>
      <c r="BO144" s="699">
        <f t="shared" si="602"/>
        <v>7437.5893749999814</v>
      </c>
      <c r="BP144" s="699"/>
      <c r="BQ144" s="699">
        <f>BQ139-BO139</f>
        <v>11437.160625000019</v>
      </c>
      <c r="BR144" s="699"/>
      <c r="BS144" s="699"/>
      <c r="BT144" s="699"/>
      <c r="BU144" s="699"/>
      <c r="BV144" s="699"/>
      <c r="BW144" s="699"/>
      <c r="BX144" s="699"/>
      <c r="BY144" s="699"/>
      <c r="BZ144" s="699"/>
      <c r="CA144" s="699"/>
      <c r="CB144" s="699"/>
      <c r="CC144" s="699"/>
      <c r="CD144" s="699"/>
      <c r="CE144" s="699"/>
    </row>
    <row r="145" spans="2:83">
      <c r="B145" s="151"/>
      <c r="AV145" s="699"/>
      <c r="AW145" s="699"/>
      <c r="AX145" s="699"/>
      <c r="AY145" s="699"/>
      <c r="AZ145" s="699"/>
      <c r="BA145" s="699"/>
      <c r="BB145" s="699"/>
      <c r="BC145" s="699"/>
      <c r="BD145" s="699"/>
      <c r="BE145" s="699"/>
      <c r="BF145" s="699"/>
      <c r="BG145" s="699"/>
      <c r="BH145" s="699"/>
      <c r="BI145" s="699"/>
      <c r="BJ145" s="699"/>
      <c r="BK145" s="699"/>
      <c r="BL145" s="699"/>
      <c r="BM145" s="699"/>
      <c r="BN145" s="699"/>
      <c r="BO145" s="699"/>
      <c r="BP145" s="699"/>
      <c r="BQ145" s="699"/>
      <c r="BR145" s="699"/>
      <c r="BS145" s="699"/>
      <c r="BT145" s="699"/>
      <c r="BU145" s="699"/>
      <c r="BV145" s="699"/>
      <c r="BW145" s="699"/>
      <c r="BX145" s="699"/>
      <c r="BY145" s="699"/>
      <c r="BZ145" s="699"/>
      <c r="CA145" s="699"/>
      <c r="CB145" s="699"/>
      <c r="CC145" s="699"/>
      <c r="CD145" s="699"/>
      <c r="CE145" s="699"/>
    </row>
    <row r="146" spans="2:83">
      <c r="B146" s="151" t="s">
        <v>447</v>
      </c>
      <c r="AW146" s="261">
        <v>0.52</v>
      </c>
      <c r="AX146" s="261">
        <v>0.53</v>
      </c>
      <c r="AY146" s="261">
        <v>0.52</v>
      </c>
      <c r="AZ146" s="261">
        <f>AZ137/AZ136</f>
        <v>0.50341397385146303</v>
      </c>
      <c r="BB146" s="261">
        <v>0.57999999999999996</v>
      </c>
      <c r="BC146" s="261">
        <v>0.57999999999999996</v>
      </c>
      <c r="BD146" s="261">
        <v>0.57999999999999996</v>
      </c>
      <c r="BE146" s="261">
        <f>BE137/BE136</f>
        <v>0.58283326780116929</v>
      </c>
      <c r="BG146" s="712">
        <v>0.57999999999999996</v>
      </c>
      <c r="BH146" s="712">
        <f>BH137/BH136</f>
        <v>0.52016920937946165</v>
      </c>
      <c r="BI146" s="712">
        <f>BI137/BI136</f>
        <v>0.53149853336962105</v>
      </c>
      <c r="BJ146" s="712">
        <f>BJ137/BJ136</f>
        <v>0.53649559980235839</v>
      </c>
      <c r="BK146" s="699"/>
      <c r="BL146" s="712">
        <f>BL137/BL136</f>
        <v>0.52717172038900917</v>
      </c>
      <c r="BM146" s="712">
        <f>BM137/BM136</f>
        <v>0.52513230775977127</v>
      </c>
      <c r="BN146" s="712">
        <f>BN137/BN136</f>
        <v>0.5440554551123008</v>
      </c>
      <c r="BO146" s="712">
        <v>0.54500000000000004</v>
      </c>
      <c r="BP146" s="699"/>
      <c r="BQ146" s="712">
        <f>BQ137/BQ136</f>
        <v>0.45453758834066876</v>
      </c>
      <c r="BR146" s="699"/>
      <c r="BS146" s="699"/>
      <c r="BT146" s="699"/>
      <c r="BU146" s="699"/>
      <c r="BV146" s="699"/>
      <c r="BW146" s="699"/>
      <c r="BX146" s="699"/>
      <c r="BY146" s="699"/>
      <c r="BZ146" s="699"/>
      <c r="CA146" s="699"/>
      <c r="CB146" s="699"/>
      <c r="CC146" s="699"/>
      <c r="CD146" s="699"/>
      <c r="CE146" s="699"/>
    </row>
    <row r="147" spans="2:83">
      <c r="B147" s="151" t="s">
        <v>446</v>
      </c>
      <c r="BG147" s="712">
        <f t="shared" ref="BG147:BJ147" si="603">BG138/BG136</f>
        <v>0</v>
      </c>
      <c r="BH147" s="712">
        <f t="shared" si="603"/>
        <v>0.32038181217384798</v>
      </c>
      <c r="BI147" s="712">
        <f t="shared" si="603"/>
        <v>0.3222277661858538</v>
      </c>
      <c r="BJ147" s="712">
        <f t="shared" si="603"/>
        <v>0.32708358372394269</v>
      </c>
      <c r="BK147" s="699"/>
      <c r="BL147" s="712">
        <f>BL138/BL136</f>
        <v>0.32418540578417632</v>
      </c>
      <c r="BM147" s="712">
        <f>BM138/BM136</f>
        <v>0.32733666055488408</v>
      </c>
      <c r="BN147" s="712">
        <f>BN138/BN136</f>
        <v>0.32347358864182457</v>
      </c>
      <c r="BO147" s="712">
        <v>0.32</v>
      </c>
      <c r="BP147" s="699"/>
      <c r="BQ147" s="712">
        <f>BQ138/BQ136</f>
        <v>0.36873430213794944</v>
      </c>
      <c r="BR147" s="699"/>
      <c r="BS147" s="699"/>
      <c r="BT147" s="699"/>
      <c r="BU147" s="699"/>
      <c r="BV147" s="699"/>
      <c r="BW147" s="699"/>
      <c r="BX147" s="699"/>
      <c r="BY147" s="699"/>
      <c r="BZ147" s="699"/>
      <c r="CA147" s="699"/>
      <c r="CB147" s="699"/>
      <c r="CC147" s="699"/>
      <c r="CD147" s="699"/>
      <c r="CE147" s="699"/>
    </row>
    <row r="148" spans="2:83">
      <c r="BH148" s="699"/>
      <c r="BI148" s="699"/>
      <c r="BJ148" s="699"/>
      <c r="BK148" s="699"/>
      <c r="BL148" s="699"/>
      <c r="BM148" s="699"/>
      <c r="BN148" s="699"/>
      <c r="BO148" s="699"/>
      <c r="BP148" s="699"/>
      <c r="BQ148" s="699"/>
      <c r="BR148" s="699"/>
      <c r="BS148" s="699"/>
      <c r="BT148" s="699"/>
      <c r="BU148" s="699"/>
      <c r="BV148" s="699"/>
      <c r="BW148" s="699"/>
      <c r="BX148" s="699"/>
      <c r="BY148" s="699"/>
      <c r="BZ148" s="699"/>
      <c r="CA148" s="699"/>
      <c r="CB148" s="699"/>
      <c r="CC148" s="699"/>
      <c r="CD148" s="699"/>
      <c r="CE148" s="699"/>
    </row>
    <row r="149" spans="2:83">
      <c r="B149" s="308" t="s">
        <v>448</v>
      </c>
      <c r="BH149" s="699"/>
      <c r="BI149" s="699"/>
      <c r="BK149" s="699"/>
      <c r="BL149" s="699"/>
      <c r="BM149" s="699"/>
      <c r="BN149" s="699"/>
      <c r="BO149" s="699"/>
      <c r="BP149" s="699"/>
      <c r="BQ149" s="699"/>
      <c r="BR149" s="699"/>
      <c r="BS149" s="699"/>
      <c r="BT149" s="699"/>
      <c r="BU149" s="699"/>
      <c r="BV149" s="699"/>
      <c r="BW149" s="699"/>
      <c r="BX149" s="699"/>
      <c r="BY149" s="699"/>
      <c r="BZ149" s="699"/>
      <c r="CA149" s="699"/>
      <c r="CB149" s="699"/>
      <c r="CC149" s="699"/>
      <c r="CD149" s="699"/>
      <c r="CE149" s="699"/>
    </row>
    <row r="150" spans="2:83">
      <c r="B150" s="308"/>
      <c r="BH150" s="699"/>
      <c r="BI150" s="699"/>
      <c r="BJ150" s="699"/>
      <c r="BK150" s="699"/>
      <c r="BL150" s="699"/>
      <c r="BM150" s="699"/>
      <c r="BN150" s="699"/>
      <c r="BO150" s="699"/>
      <c r="BP150" s="699"/>
      <c r="BQ150" s="699"/>
      <c r="BR150" s="699"/>
      <c r="BS150" s="699"/>
      <c r="BT150" s="699"/>
      <c r="BU150" s="699"/>
      <c r="BV150" s="699"/>
      <c r="BW150" s="699"/>
      <c r="BX150" s="699"/>
      <c r="BY150" s="699"/>
      <c r="BZ150" s="699"/>
      <c r="CA150" s="699"/>
      <c r="CB150" s="699"/>
      <c r="CC150" s="699"/>
      <c r="CD150" s="699"/>
      <c r="CE150" s="699"/>
    </row>
    <row r="151" spans="2:83">
      <c r="B151" s="702" t="s">
        <v>449</v>
      </c>
      <c r="AV151" s="699"/>
      <c r="AW151" s="699"/>
      <c r="AX151" s="699"/>
      <c r="AY151" s="699"/>
      <c r="AZ151" s="699"/>
      <c r="BA151" s="699"/>
      <c r="BB151" s="699"/>
      <c r="BC151" s="699"/>
      <c r="BD151" s="699"/>
      <c r="BE151" s="699"/>
      <c r="BF151" s="699"/>
      <c r="BG151" s="699"/>
      <c r="BH151" s="699"/>
      <c r="BI151" s="699"/>
      <c r="BJ151" s="699"/>
      <c r="BK151" s="699"/>
      <c r="BL151" s="699"/>
      <c r="BM151" s="699"/>
      <c r="BN151" s="699"/>
      <c r="BO151" s="699"/>
      <c r="BP151" s="699"/>
      <c r="BQ151" s="699"/>
      <c r="BR151" s="699"/>
      <c r="BS151" s="699"/>
      <c r="BT151" s="699"/>
      <c r="BU151" s="699"/>
      <c r="BV151" s="699"/>
      <c r="BW151" s="699"/>
      <c r="BX151" s="699"/>
      <c r="BY151" s="699"/>
      <c r="BZ151" s="699"/>
      <c r="CA151" s="699"/>
      <c r="CB151" s="699"/>
      <c r="CC151" s="699"/>
      <c r="CD151" s="699"/>
      <c r="CE151" s="699"/>
    </row>
    <row r="152" spans="2:83">
      <c r="B152" s="703" t="s">
        <v>443</v>
      </c>
      <c r="AV152" s="699"/>
      <c r="BA152" s="699"/>
      <c r="BB152" s="261">
        <f t="shared" ref="BB152:BE153" si="604">BB136/AW136-1</f>
        <v>0.27298617682614856</v>
      </c>
      <c r="BC152" s="261">
        <f t="shared" si="604"/>
        <v>0.19697567156838858</v>
      </c>
      <c r="BD152" s="261">
        <f t="shared" si="604"/>
        <v>4.291152892695016E-2</v>
      </c>
      <c r="BE152" s="261">
        <f t="shared" si="604"/>
        <v>-4.0735035443992818E-2</v>
      </c>
      <c r="BF152" s="699"/>
      <c r="BG152" s="261">
        <f>BG136/BB136-1</f>
        <v>3.8694234100294045E-2</v>
      </c>
      <c r="BH152" s="261">
        <f t="shared" ref="BH152:BJ153" si="605">BH136/BC136-1</f>
        <v>0.18738826107395212</v>
      </c>
      <c r="BI152" s="261">
        <f t="shared" si="605"/>
        <v>0.27605141404046285</v>
      </c>
      <c r="BJ152" s="261">
        <f t="shared" si="605"/>
        <v>0.37586309534746132</v>
      </c>
      <c r="BK152" s="699"/>
      <c r="BL152" s="261">
        <f t="shared" ref="BL152:BQ153" si="606">BL136/BG136-1</f>
        <v>0.29010519395134771</v>
      </c>
      <c r="BM152" s="261">
        <f t="shared" si="606"/>
        <v>0.13742183262361829</v>
      </c>
      <c r="BN152" s="261">
        <f t="shared" si="606"/>
        <v>0.15909462033929067</v>
      </c>
      <c r="BO152" s="261">
        <f t="shared" si="606"/>
        <v>0.15169965145627184</v>
      </c>
      <c r="BP152" s="699"/>
      <c r="BQ152" s="261">
        <f t="shared" si="606"/>
        <v>0.13498003992015972</v>
      </c>
      <c r="BR152" s="699"/>
      <c r="BS152" s="699"/>
      <c r="BT152" s="699"/>
      <c r="BU152" s="699"/>
      <c r="BV152" s="699"/>
      <c r="BW152" s="699"/>
      <c r="BX152" s="699"/>
      <c r="BY152" s="699"/>
      <c r="BZ152" s="699"/>
      <c r="CA152" s="699"/>
      <c r="CB152" s="699"/>
      <c r="CC152" s="699"/>
      <c r="CD152" s="699"/>
      <c r="CE152" s="699"/>
    </row>
    <row r="153" spans="2:83">
      <c r="B153" s="703" t="s">
        <v>444</v>
      </c>
      <c r="AV153" s="699"/>
      <c r="AZ153" s="261">
        <f t="shared" ref="AZ153" si="607">AZ137/AU137-1</f>
        <v>0.3843066931614405</v>
      </c>
      <c r="BA153" s="699"/>
      <c r="BB153" s="261">
        <f t="shared" si="604"/>
        <v>0.41986919722916571</v>
      </c>
      <c r="BC153" s="261">
        <f t="shared" si="604"/>
        <v>0.30989790473521728</v>
      </c>
      <c r="BD153" s="261">
        <f t="shared" si="604"/>
        <v>0.16324747457236732</v>
      </c>
      <c r="BE153" s="261">
        <f t="shared" si="604"/>
        <v>0.1105999495840686</v>
      </c>
      <c r="BF153" s="699"/>
      <c r="BG153" s="261">
        <f>BG137/BB137-1</f>
        <v>3.8694234100294267E-2</v>
      </c>
      <c r="BH153" s="261">
        <f t="shared" si="605"/>
        <v>6.4901401705675266E-2</v>
      </c>
      <c r="BI153" s="261">
        <f t="shared" si="605"/>
        <v>0.16934388804609868</v>
      </c>
      <c r="BJ153" s="261">
        <f t="shared" si="605"/>
        <v>0.26647625892930327</v>
      </c>
      <c r="BK153" s="699"/>
      <c r="BL153" s="261">
        <f t="shared" si="606"/>
        <v>0.17259823203125602</v>
      </c>
      <c r="BM153" s="261">
        <f t="shared" si="606"/>
        <v>0.14827433283591929</v>
      </c>
      <c r="BN153" s="261">
        <f t="shared" si="606"/>
        <v>0.18647881714541747</v>
      </c>
      <c r="BO153" s="261">
        <f t="shared" si="606"/>
        <v>0.16995611944422317</v>
      </c>
      <c r="BP153" s="699"/>
      <c r="BQ153" s="261">
        <f t="shared" si="606"/>
        <v>-2.1398397889362708E-2</v>
      </c>
      <c r="BR153" s="699"/>
      <c r="BS153" s="699"/>
      <c r="BT153" s="699"/>
      <c r="BU153" s="699"/>
      <c r="BV153" s="699"/>
      <c r="BW153" s="699"/>
      <c r="BX153" s="699"/>
      <c r="BY153" s="699"/>
      <c r="BZ153" s="699"/>
      <c r="CA153" s="699"/>
      <c r="CB153" s="699"/>
      <c r="CC153" s="699"/>
      <c r="CD153" s="699"/>
      <c r="CE153" s="699"/>
    </row>
    <row r="154" spans="2:83">
      <c r="B154" s="703" t="s">
        <v>450</v>
      </c>
      <c r="AV154" s="699"/>
      <c r="BA154" s="699"/>
      <c r="BF154" s="699"/>
      <c r="BK154" s="699"/>
      <c r="BL154" s="699"/>
      <c r="BM154" s="699"/>
      <c r="BN154" s="261"/>
      <c r="BO154" s="261"/>
      <c r="BP154" s="699"/>
      <c r="BQ154" s="699"/>
      <c r="BR154" s="699"/>
      <c r="BS154" s="699"/>
      <c r="BT154" s="699"/>
      <c r="BU154" s="699"/>
      <c r="BV154" s="699"/>
      <c r="BW154" s="699"/>
      <c r="BX154" s="699"/>
      <c r="BY154" s="699"/>
      <c r="BZ154" s="699"/>
      <c r="CA154" s="699"/>
      <c r="CB154" s="699"/>
      <c r="CC154" s="699"/>
      <c r="CD154" s="699"/>
      <c r="CE154" s="699"/>
    </row>
    <row r="155" spans="2:83">
      <c r="B155" s="703"/>
      <c r="AV155" s="699"/>
      <c r="BA155" s="699"/>
      <c r="BF155" s="699"/>
      <c r="BK155" s="699"/>
      <c r="BL155" s="699"/>
      <c r="BM155" s="699"/>
      <c r="BN155" s="261"/>
      <c r="BO155" s="261"/>
      <c r="BP155" s="699"/>
      <c r="BQ155" s="699"/>
      <c r="BR155" s="699"/>
      <c r="BS155" s="699"/>
      <c r="BT155" s="699"/>
      <c r="BU155" s="699"/>
      <c r="BV155" s="699"/>
      <c r="BW155" s="699"/>
      <c r="BX155" s="699"/>
      <c r="BY155" s="699"/>
      <c r="BZ155" s="699"/>
      <c r="CA155" s="699"/>
      <c r="CB155" s="699"/>
      <c r="CC155" s="699"/>
      <c r="CD155" s="699"/>
      <c r="CE155" s="699"/>
    </row>
    <row r="156" spans="2:83">
      <c r="B156" s="702" t="s">
        <v>474</v>
      </c>
      <c r="AV156" s="699"/>
      <c r="BA156" s="699"/>
      <c r="BF156" s="699"/>
      <c r="BK156" s="699"/>
      <c r="BL156" s="699"/>
      <c r="BM156" s="699"/>
      <c r="BN156" s="261"/>
      <c r="BO156" s="261"/>
      <c r="BP156" s="699"/>
      <c r="BQ156" s="699"/>
      <c r="BR156" s="699"/>
      <c r="BS156" s="699"/>
      <c r="BT156" s="699"/>
      <c r="BU156" s="699"/>
      <c r="BV156" s="699"/>
      <c r="BW156" s="699"/>
      <c r="BX156" s="699"/>
      <c r="BY156" s="699"/>
      <c r="BZ156" s="699"/>
      <c r="CA156" s="699"/>
      <c r="CB156" s="699"/>
      <c r="CC156" s="699"/>
      <c r="CD156" s="699"/>
      <c r="CE156" s="699"/>
    </row>
    <row r="157" spans="2:83">
      <c r="B157" s="703" t="s">
        <v>443</v>
      </c>
      <c r="AV157" s="699"/>
      <c r="BA157" s="699"/>
      <c r="BF157" s="699"/>
      <c r="BG157" s="261">
        <f>BG136/BE136-1</f>
        <v>7.3130220371806276E-2</v>
      </c>
      <c r="BH157" s="261">
        <f t="shared" ref="BH157:BJ158" si="608">BH136/BG136-1</f>
        <v>9.8461812404120108E-2</v>
      </c>
      <c r="BI157" s="261">
        <f t="shared" si="608"/>
        <v>3.0874165331404635E-2</v>
      </c>
      <c r="BJ157" s="261">
        <f t="shared" si="608"/>
        <v>0.13222353261362607</v>
      </c>
      <c r="BL157" s="261">
        <f>BL136/BJ136-1</f>
        <v>6.2417371098915098E-3</v>
      </c>
      <c r="BM157" s="261">
        <f t="shared" ref="BM157:BO158" si="609">BM136/BL136-1</f>
        <v>-3.1540642120015283E-2</v>
      </c>
      <c r="BN157" s="261">
        <f t="shared" si="609"/>
        <v>5.0516760810044081E-2</v>
      </c>
      <c r="BO157" s="716">
        <v>0.125</v>
      </c>
      <c r="BP157" s="699"/>
      <c r="BQ157" s="261">
        <f>BQ136/BO136-1</f>
        <v>-8.3662129182490164E-3</v>
      </c>
      <c r="BR157" s="699"/>
      <c r="BS157" s="699"/>
      <c r="BT157" s="699"/>
      <c r="BU157" s="699"/>
      <c r="BV157" s="699"/>
      <c r="BW157" s="699"/>
      <c r="BX157" s="699"/>
      <c r="BY157" s="699"/>
      <c r="BZ157" s="699"/>
      <c r="CA157" s="699"/>
      <c r="CB157" s="699"/>
      <c r="CC157" s="699"/>
      <c r="CD157" s="699"/>
      <c r="CE157" s="699"/>
    </row>
    <row r="158" spans="2:83">
      <c r="B158" s="703" t="s">
        <v>444</v>
      </c>
      <c r="AV158" s="699"/>
      <c r="BA158" s="699"/>
      <c r="BF158" s="699"/>
      <c r="BG158" s="261">
        <f>BG137/BE137-1</f>
        <v>6.7913522101798796E-2</v>
      </c>
      <c r="BH158" s="261">
        <f t="shared" si="608"/>
        <v>-1.4851702600376382E-2</v>
      </c>
      <c r="BI158" s="261">
        <f t="shared" si="608"/>
        <v>5.332668116958228E-2</v>
      </c>
      <c r="BJ158" s="261">
        <f t="shared" si="608"/>
        <v>0.1428685219296062</v>
      </c>
      <c r="BK158" s="699"/>
      <c r="BL158" s="261">
        <f>BL137/BJ137-1</f>
        <v>-1.1245967581345329E-2</v>
      </c>
      <c r="BM158" s="261">
        <f t="shared" si="609"/>
        <v>-3.5287216848846725E-2</v>
      </c>
      <c r="BN158" s="261">
        <f t="shared" si="609"/>
        <v>8.8372141572875318E-2</v>
      </c>
      <c r="BO158" s="261">
        <f t="shared" si="609"/>
        <v>0.12695313361657634</v>
      </c>
      <c r="BP158" s="699"/>
      <c r="BQ158" s="261">
        <f>BQ137/BO137-1</f>
        <v>-0.1729636145004344</v>
      </c>
      <c r="BR158" s="699"/>
      <c r="BS158" s="699"/>
      <c r="BT158" s="699"/>
      <c r="BU158" s="699"/>
      <c r="BV158" s="699"/>
      <c r="BW158" s="699"/>
      <c r="BX158" s="699"/>
      <c r="BY158" s="699"/>
      <c r="BZ158" s="699"/>
      <c r="CA158" s="699"/>
      <c r="CB158" s="699"/>
      <c r="CC158" s="699"/>
      <c r="CD158" s="699"/>
      <c r="CE158" s="699"/>
    </row>
    <row r="159" spans="2:83">
      <c r="B159" s="703" t="s">
        <v>450</v>
      </c>
      <c r="AV159" s="699"/>
      <c r="BA159" s="699"/>
      <c r="BF159" s="699"/>
      <c r="BI159" s="261">
        <f>BI138/BH138-1</f>
        <v>3.6813785587794579E-2</v>
      </c>
      <c r="BJ159" s="261">
        <f>BJ138/BI138-1</f>
        <v>0.14928559697815724</v>
      </c>
      <c r="BK159" s="699"/>
      <c r="BL159" s="261"/>
      <c r="BM159" s="261">
        <f>BM138/BL138-1</f>
        <v>-2.2126701463514475E-2</v>
      </c>
      <c r="BN159" s="261">
        <f>BN138/BM138-1</f>
        <v>3.8119060576882857E-2</v>
      </c>
      <c r="BO159" s="261">
        <f>BO138/BN138-1</f>
        <v>0.11291930049541188</v>
      </c>
      <c r="BP159" s="699"/>
      <c r="BQ159" s="261"/>
      <c r="BR159" s="699"/>
      <c r="BS159" s="699"/>
      <c r="BT159" s="699"/>
      <c r="BU159" s="699"/>
      <c r="BV159" s="699"/>
      <c r="BW159" s="699"/>
      <c r="BX159" s="699"/>
      <c r="BY159" s="699"/>
      <c r="BZ159" s="699"/>
      <c r="CA159" s="699"/>
      <c r="CB159" s="699"/>
      <c r="CC159" s="699"/>
      <c r="CD159" s="699"/>
      <c r="CE159" s="699"/>
    </row>
    <row r="160" spans="2:83">
      <c r="B160" s="703"/>
      <c r="AV160" s="699"/>
      <c r="AW160" s="699"/>
      <c r="AX160" s="699"/>
      <c r="AY160" s="699"/>
      <c r="AZ160" s="699"/>
      <c r="BA160" s="699"/>
      <c r="BB160" s="699"/>
      <c r="BC160" s="699"/>
      <c r="BD160" s="699"/>
      <c r="BE160" s="699"/>
      <c r="BF160" s="699"/>
      <c r="BG160" s="699"/>
      <c r="BH160" s="699"/>
      <c r="BI160" s="699"/>
      <c r="BJ160" s="699"/>
      <c r="BK160" s="699"/>
      <c r="BL160" s="699"/>
      <c r="BM160" s="699"/>
      <c r="BN160" s="699"/>
      <c r="BO160" s="699"/>
      <c r="BP160" s="699"/>
      <c r="BQ160" s="699"/>
      <c r="BR160" s="699"/>
      <c r="BS160" s="699"/>
      <c r="BT160" s="699"/>
      <c r="BU160" s="699"/>
      <c r="BV160" s="699"/>
      <c r="BW160" s="699"/>
      <c r="BX160" s="699"/>
      <c r="BY160" s="699"/>
      <c r="BZ160" s="699"/>
      <c r="CA160" s="699"/>
      <c r="CB160" s="699"/>
      <c r="CC160" s="699"/>
      <c r="CD160" s="699"/>
      <c r="CE160" s="699"/>
    </row>
    <row r="161" spans="2:83">
      <c r="B161" s="703" t="s">
        <v>451</v>
      </c>
      <c r="AV161" s="699"/>
      <c r="AW161" s="707">
        <f>AU136</f>
        <v>0</v>
      </c>
      <c r="AX161" s="707">
        <f>AW136</f>
        <v>220861</v>
      </c>
      <c r="AY161" s="707">
        <f>AX136</f>
        <v>225703</v>
      </c>
      <c r="AZ161" s="707">
        <f>AY136</f>
        <v>248488</v>
      </c>
      <c r="BA161" s="699"/>
      <c r="BB161" s="707">
        <f>AZ136</f>
        <v>283687</v>
      </c>
      <c r="BC161" s="707">
        <f>BB136</f>
        <v>281153</v>
      </c>
      <c r="BD161" s="707">
        <f>BC136</f>
        <v>270161</v>
      </c>
      <c r="BE161" s="707">
        <f>BD136</f>
        <v>259151</v>
      </c>
      <c r="BF161" s="699"/>
      <c r="BG161" s="707">
        <f>BE136</f>
        <v>272131</v>
      </c>
      <c r="BH161" s="707">
        <f>BG136</f>
        <v>292032</v>
      </c>
      <c r="BI161" s="707">
        <f>BH136</f>
        <v>320786</v>
      </c>
      <c r="BJ161" s="707">
        <f>BI136</f>
        <v>330690</v>
      </c>
      <c r="BK161" s="699"/>
      <c r="BL161" s="707">
        <f>BJ136</f>
        <v>374415</v>
      </c>
      <c r="BM161" s="707">
        <f>BL136</f>
        <v>376752</v>
      </c>
      <c r="BN161" s="707">
        <f>BM136</f>
        <v>364869</v>
      </c>
      <c r="BO161" s="707">
        <f>BN136</f>
        <v>383301</v>
      </c>
      <c r="BP161" s="699"/>
      <c r="BQ161" s="707">
        <f>BO136</f>
        <v>431213.625</v>
      </c>
      <c r="BR161" s="699"/>
      <c r="BS161" s="699"/>
      <c r="BT161" s="699"/>
      <c r="BU161" s="699"/>
      <c r="BV161" s="699"/>
      <c r="BW161" s="699"/>
      <c r="BX161" s="699"/>
      <c r="BY161" s="699"/>
      <c r="BZ161" s="699"/>
      <c r="CA161" s="699"/>
      <c r="CB161" s="699"/>
      <c r="CC161" s="699"/>
      <c r="CD161" s="699"/>
      <c r="CE161" s="699"/>
    </row>
    <row r="162" spans="2:83">
      <c r="B162" s="704" t="s">
        <v>452</v>
      </c>
      <c r="AV162" s="699"/>
      <c r="AW162" s="707">
        <f>AW107</f>
        <v>96756</v>
      </c>
      <c r="AX162" s="707">
        <f>AX107</f>
        <v>99702</v>
      </c>
      <c r="AY162" s="707">
        <f>AY107</f>
        <v>104934</v>
      </c>
      <c r="AZ162" s="707">
        <f>AZ107</f>
        <v>109780</v>
      </c>
      <c r="BA162" s="699"/>
      <c r="BB162" s="707">
        <f>BB107</f>
        <v>113420</v>
      </c>
      <c r="BC162" s="707">
        <f>BC107</f>
        <v>119893</v>
      </c>
      <c r="BD162" s="707">
        <f>BD107</f>
        <v>125561</v>
      </c>
      <c r="BE162" s="707">
        <f>BE107</f>
        <v>130849</v>
      </c>
      <c r="BF162" s="699"/>
      <c r="BG162" s="707">
        <f>BG107</f>
        <v>130683</v>
      </c>
      <c r="BH162" s="707">
        <f>BH107</f>
        <v>137209</v>
      </c>
      <c r="BI162" s="707">
        <f>BI107</f>
        <v>141996</v>
      </c>
      <c r="BJ162" s="707">
        <f>BJ107</f>
        <v>144570</v>
      </c>
      <c r="BK162" s="699"/>
      <c r="BL162" s="707">
        <f>BL107</f>
        <v>145805</v>
      </c>
      <c r="BM162" s="707">
        <f>BM107</f>
        <v>148708</v>
      </c>
      <c r="BN162" s="707">
        <f>BN107</f>
        <v>153867</v>
      </c>
      <c r="BO162" s="707">
        <f>BO107</f>
        <v>159191</v>
      </c>
      <c r="BP162" s="699"/>
      <c r="BQ162" s="707">
        <f>BQ107</f>
        <v>159899</v>
      </c>
      <c r="BR162" s="699"/>
      <c r="BS162" s="699"/>
      <c r="BT162" s="699"/>
      <c r="BU162" s="699"/>
      <c r="BV162" s="699"/>
      <c r="BW162" s="699"/>
      <c r="BX162" s="699"/>
      <c r="BY162" s="699"/>
      <c r="BZ162" s="699"/>
      <c r="CA162" s="699"/>
      <c r="CB162" s="699"/>
      <c r="CC162" s="699"/>
      <c r="CD162" s="699"/>
      <c r="CE162" s="699"/>
    </row>
    <row r="163" spans="2:83" ht="17.25">
      <c r="B163" s="705" t="s">
        <v>453</v>
      </c>
      <c r="AV163" s="699"/>
      <c r="AW163" s="706">
        <f>AW164-(AW161-AW162)</f>
        <v>317617</v>
      </c>
      <c r="AX163" s="706">
        <f>AX164-(AX161-AX162)</f>
        <v>104544</v>
      </c>
      <c r="AY163" s="706">
        <f>AY164-(AY161-AY162)</f>
        <v>127719</v>
      </c>
      <c r="AZ163" s="706">
        <f>AZ164-(AZ161-AZ162)</f>
        <v>144979</v>
      </c>
      <c r="BA163" s="699"/>
      <c r="BB163" s="706">
        <f>BB164-(BB161-BB162)</f>
        <v>110886</v>
      </c>
      <c r="BC163" s="706">
        <f>BC164-(BC161-BC162)</f>
        <v>108901</v>
      </c>
      <c r="BD163" s="706">
        <f>BD164-(BD161-BD162)</f>
        <v>114551</v>
      </c>
      <c r="BE163" s="706">
        <f>BE164-(BE161-BE162)</f>
        <v>143829</v>
      </c>
      <c r="BF163" s="699"/>
      <c r="BG163" s="706">
        <f>BG164-(BG161-BG162)</f>
        <v>150584</v>
      </c>
      <c r="BH163" s="706">
        <f>BH164-(BH161-BH162)</f>
        <v>165963</v>
      </c>
      <c r="BI163" s="706">
        <f>BI164-(BI161-BI162)</f>
        <v>151900</v>
      </c>
      <c r="BJ163" s="706">
        <f>BJ164-(BJ161-BJ162)</f>
        <v>188295</v>
      </c>
      <c r="BK163" s="699"/>
      <c r="BL163" s="706">
        <f>BL164-(BL161-BL162)</f>
        <v>148142</v>
      </c>
      <c r="BM163" s="706">
        <f>BM164-(BM161-BM162)</f>
        <v>136825</v>
      </c>
      <c r="BN163" s="706">
        <f>BN164-(BN161-BN162)</f>
        <v>172299</v>
      </c>
      <c r="BO163" s="706">
        <f>BO164-(BO161-BO162)</f>
        <v>207103.625</v>
      </c>
      <c r="BP163" s="699"/>
      <c r="BQ163" s="706">
        <f>BQ164-(BQ161-BQ162)</f>
        <v>156291.375</v>
      </c>
      <c r="BR163" s="699"/>
      <c r="BS163" s="699"/>
      <c r="BT163" s="699"/>
      <c r="BU163" s="699"/>
      <c r="BV163" s="699"/>
      <c r="BW163" s="699"/>
      <c r="BX163" s="699"/>
      <c r="BY163" s="699"/>
      <c r="BZ163" s="699"/>
      <c r="CA163" s="699"/>
      <c r="CB163" s="699"/>
      <c r="CC163" s="699"/>
      <c r="CD163" s="699"/>
      <c r="CE163" s="699"/>
    </row>
    <row r="164" spans="2:83">
      <c r="B164" s="126" t="s">
        <v>454</v>
      </c>
      <c r="AV164" s="699"/>
      <c r="AW164" s="707">
        <f>AW136</f>
        <v>220861</v>
      </c>
      <c r="AX164" s="707">
        <f>AX136</f>
        <v>225703</v>
      </c>
      <c r="AY164" s="707">
        <f>AY136</f>
        <v>248488</v>
      </c>
      <c r="AZ164" s="707">
        <f>AZ136</f>
        <v>283687</v>
      </c>
      <c r="BA164" s="699"/>
      <c r="BB164" s="707">
        <f>BB136</f>
        <v>281153</v>
      </c>
      <c r="BC164" s="707">
        <f>BC136</f>
        <v>270161</v>
      </c>
      <c r="BD164" s="707">
        <f>BD136</f>
        <v>259151</v>
      </c>
      <c r="BE164" s="707">
        <f>BE136</f>
        <v>272131</v>
      </c>
      <c r="BF164" s="699"/>
      <c r="BG164" s="707">
        <f>BG136</f>
        <v>292032</v>
      </c>
      <c r="BH164" s="707">
        <f>BH136</f>
        <v>320786</v>
      </c>
      <c r="BI164" s="707">
        <f>BI136</f>
        <v>330690</v>
      </c>
      <c r="BJ164" s="707">
        <f>BJ136</f>
        <v>374415</v>
      </c>
      <c r="BK164" s="699"/>
      <c r="BL164" s="707">
        <f>BL136</f>
        <v>376752</v>
      </c>
      <c r="BM164" s="707">
        <f>BM136</f>
        <v>364869</v>
      </c>
      <c r="BN164" s="707">
        <f>BN136</f>
        <v>383301</v>
      </c>
      <c r="BO164" s="707">
        <f>BO136</f>
        <v>431213.625</v>
      </c>
      <c r="BP164" s="699"/>
      <c r="BQ164" s="707">
        <f>BQ136</f>
        <v>427606</v>
      </c>
      <c r="BR164" s="699"/>
      <c r="BS164" s="699"/>
      <c r="BT164" s="699"/>
      <c r="BU164" s="699"/>
      <c r="BV164" s="699"/>
      <c r="BW164" s="699"/>
      <c r="BX164" s="699"/>
      <c r="BY164" s="699"/>
      <c r="BZ164" s="699"/>
      <c r="CA164" s="699"/>
      <c r="CB164" s="699"/>
      <c r="CC164" s="699"/>
      <c r="CD164" s="699"/>
      <c r="CE164" s="699"/>
    </row>
    <row r="165" spans="2:83">
      <c r="AV165" s="699"/>
      <c r="AW165" s="699"/>
      <c r="AX165" s="699"/>
      <c r="AY165" s="699"/>
      <c r="AZ165" s="699"/>
      <c r="BA165" s="699"/>
      <c r="BB165" s="699"/>
      <c r="BC165" s="699"/>
      <c r="BD165" s="699"/>
      <c r="BE165" s="699"/>
      <c r="BF165" s="699"/>
      <c r="BG165" s="699"/>
      <c r="BH165" s="699"/>
      <c r="BI165" s="699"/>
      <c r="BJ165" s="699"/>
      <c r="BK165" s="699"/>
      <c r="BL165" s="699"/>
      <c r="BM165" s="699"/>
      <c r="BN165" s="699"/>
      <c r="BO165" s="699"/>
      <c r="BP165" s="699"/>
      <c r="BQ165" s="699"/>
      <c r="BR165" s="699"/>
      <c r="BS165" s="699"/>
      <c r="BT165" s="699"/>
      <c r="BU165" s="699"/>
      <c r="BV165" s="699"/>
      <c r="BW165" s="699"/>
      <c r="BX165" s="699"/>
      <c r="BY165" s="699"/>
      <c r="BZ165" s="699"/>
      <c r="CA165" s="699"/>
      <c r="CB165" s="699"/>
      <c r="CC165" s="699"/>
      <c r="CD165" s="699"/>
      <c r="CE165" s="699"/>
    </row>
    <row r="166" spans="2:83">
      <c r="B166" s="126" t="s">
        <v>455</v>
      </c>
      <c r="AV166" s="699"/>
      <c r="BA166" s="699"/>
      <c r="BB166" s="261">
        <f>BB163/AW163-1</f>
        <v>-0.6508814074813376</v>
      </c>
      <c r="BC166" s="261">
        <f>BC163/AX163-1</f>
        <v>4.1676232017141102E-2</v>
      </c>
      <c r="BD166" s="261">
        <f>BD163/AY163-1</f>
        <v>-0.10310133965972168</v>
      </c>
      <c r="BE166" s="261">
        <f>BE163/AZ163-1</f>
        <v>-7.9321832817166316E-3</v>
      </c>
      <c r="BF166" s="699"/>
      <c r="BG166" s="261">
        <f>BG163/BB163-1</f>
        <v>0.35800732283606584</v>
      </c>
      <c r="BH166" s="261">
        <f>BH163/BC163-1</f>
        <v>0.52398049604686836</v>
      </c>
      <c r="BI166" s="261">
        <f>BI163/BD163-1</f>
        <v>0.32604691360180182</v>
      </c>
      <c r="BJ166" s="261">
        <f>BJ163/BE163-1</f>
        <v>0.30915879273303726</v>
      </c>
      <c r="BK166" s="699"/>
      <c r="BL166" s="261">
        <f>BL163/BG163-1</f>
        <v>-1.6216862349253569E-2</v>
      </c>
      <c r="BM166" s="261">
        <f>BM163/BH163-1</f>
        <v>-0.17556925338780327</v>
      </c>
      <c r="BN166" s="261">
        <f>BN163/BI163-1</f>
        <v>0.13429229756418692</v>
      </c>
      <c r="BO166" s="261">
        <f>BO163/BJ163-1</f>
        <v>9.9889136726944328E-2</v>
      </c>
      <c r="BP166" s="699"/>
      <c r="BQ166" s="261">
        <f>BQ163/BL163-1</f>
        <v>5.5010564188413769E-2</v>
      </c>
      <c r="BR166" s="699"/>
      <c r="BS166" s="699"/>
      <c r="BT166" s="699"/>
      <c r="BU166" s="699"/>
      <c r="BV166" s="699"/>
      <c r="BW166" s="699"/>
      <c r="BX166" s="699"/>
      <c r="BY166" s="699"/>
      <c r="BZ166" s="699"/>
      <c r="CA166" s="699"/>
      <c r="CB166" s="699"/>
      <c r="CC166" s="699"/>
      <c r="CD166" s="699"/>
      <c r="CE166" s="699"/>
    </row>
    <row r="167" spans="2:83">
      <c r="B167" s="144" t="s">
        <v>456</v>
      </c>
      <c r="AV167" s="699"/>
      <c r="AX167" s="261">
        <f>AX163/AW163-1</f>
        <v>-0.67084885254882454</v>
      </c>
      <c r="AY167" s="261">
        <f>AY163/AX163-1</f>
        <v>0.22167699724517909</v>
      </c>
      <c r="AZ167" s="261">
        <f>AZ163/AY163-1</f>
        <v>0.13514042546527927</v>
      </c>
      <c r="BA167" s="699"/>
      <c r="BB167" s="261">
        <f>BB163/AZ163-1</f>
        <v>-0.23515819532484017</v>
      </c>
      <c r="BC167" s="261">
        <f>BC163/BB163-1</f>
        <v>-1.790126796890501E-2</v>
      </c>
      <c r="BD167" s="261">
        <f>BD163/BC163-1</f>
        <v>5.1881984554779104E-2</v>
      </c>
      <c r="BE167" s="261">
        <f>BE163/BD163-1</f>
        <v>0.25558921353807484</v>
      </c>
      <c r="BF167" s="699"/>
      <c r="BG167" s="261">
        <f>BG163/BE163-1</f>
        <v>4.696549374604575E-2</v>
      </c>
      <c r="BH167" s="261">
        <f>BH163/BG163-1</f>
        <v>0.10212904425436964</v>
      </c>
      <c r="BI167" s="261">
        <f>BI163/BH163-1</f>
        <v>-8.4735754354886339E-2</v>
      </c>
      <c r="BJ167" s="261">
        <f>BJ163/BI163-1</f>
        <v>0.23959842001316645</v>
      </c>
      <c r="BK167" s="699"/>
      <c r="BL167" s="261">
        <f>BL163/BJ163-1</f>
        <v>-0.21324517379643648</v>
      </c>
      <c r="BM167" s="261">
        <f>BM163/BL163-1</f>
        <v>-7.6392920306192713E-2</v>
      </c>
      <c r="BN167" s="261">
        <f>BN163/BM163-1</f>
        <v>0.2592654851087155</v>
      </c>
      <c r="BO167" s="261">
        <f>BO163/BN163-1</f>
        <v>0.2020013174771762</v>
      </c>
      <c r="BP167" s="699"/>
      <c r="BQ167" s="261">
        <f>BQ163/BO163-1</f>
        <v>-0.24534698511433584</v>
      </c>
      <c r="BR167" s="699"/>
      <c r="BS167" s="699"/>
      <c r="BT167" s="699"/>
      <c r="BU167" s="699"/>
      <c r="BV167" s="699"/>
      <c r="BW167" s="699"/>
      <c r="BX167" s="699"/>
      <c r="BY167" s="699"/>
      <c r="BZ167" s="699"/>
      <c r="CA167" s="699"/>
      <c r="CB167" s="699"/>
      <c r="CC167" s="699"/>
      <c r="CD167" s="699"/>
      <c r="CE167" s="699"/>
    </row>
    <row r="168" spans="2:83">
      <c r="B168" s="150" t="s">
        <v>496</v>
      </c>
      <c r="AV168" s="699"/>
      <c r="BA168" s="699"/>
      <c r="BB168" s="261">
        <f>SUM(BB163,AZ163,AY163,AX163)/SUM(AW163,AU163,AT163,AS163)-1</f>
        <v>0.536844690303101</v>
      </c>
      <c r="BC168" s="261">
        <f>SUM(BC163,BB163,AZ163,AY163)/SUM(AX163,AW163,AU163,AT163)-1</f>
        <v>0.16658099634973378</v>
      </c>
      <c r="BD168" s="261">
        <f>SUM(BD163,BC163,BB163,AZ163)/SUM(AY163,AX163,AW163,AU163)-1</f>
        <v>-0.12832436167891181</v>
      </c>
      <c r="BE168" s="261">
        <f>SUM(BE163,BD163,BC163,BB163)/SUM(AZ163,AY163,AX163,AW163)-1</f>
        <v>-0.31185031783426564</v>
      </c>
      <c r="BF168" s="699"/>
      <c r="BG168" s="261">
        <f>SUM(BG163,BE163,BD163,BC163)/SUM(BB163,AZ163,AY163,AX163)-1</f>
        <v>6.0920496263275226E-2</v>
      </c>
      <c r="BH168" s="261">
        <f>SUM(BH163,BG163,BE163,BD163)/SUM(BC163,BB163,AZ163,AY163)-1</f>
        <v>0.16740002233570572</v>
      </c>
      <c r="BI168" s="261">
        <f>SUM(BI163,BH163,BG163,BE163)/SUM(BD163,BC163,BB163,AZ163)-1</f>
        <v>0.27739262325350444</v>
      </c>
      <c r="BJ168" s="261">
        <f>SUM(BJ163,BI163,BH163,BG163)/SUM(BE163,BD163,BC163,BB163)-1</f>
        <v>0.37345739040962678</v>
      </c>
      <c r="BK168" s="699"/>
      <c r="BL168" s="261">
        <f>SUM(BL163,BJ163,BI163,BH163)/SUM(BG163,BE163,BD163,BC163)-1</f>
        <v>0.26345669238121894</v>
      </c>
      <c r="BM168" s="261">
        <f>SUM(BM163,BL163,BJ163,BI163)/SUM(BH163,BG163,BE163,BD163)-1</f>
        <v>8.7376310383753042E-2</v>
      </c>
      <c r="BN168" s="261">
        <f>SUM(BN163,BM163,BL163,BJ163)/SUM(BI163,BH163,BG163,BE163)-1</f>
        <v>5.4362738372890629E-2</v>
      </c>
      <c r="BO168" s="261">
        <f>SUM(BO163,BN163,BM163,BL163)/SUM(BJ163,BI163,BH163,BG163)-1</f>
        <v>1.1614340182293903E-2</v>
      </c>
      <c r="BP168" s="699"/>
      <c r="BQ168" s="261">
        <f>SUM(BQ163,BO163,BN163,BM163)/SUM(BL163,BJ163,BI163,BH163)-1</f>
        <v>2.7845025217789976E-2</v>
      </c>
      <c r="BR168" s="699"/>
      <c r="BS168" s="699"/>
      <c r="BT168" s="699"/>
      <c r="BU168" s="699"/>
      <c r="BV168" s="699"/>
      <c r="BW168" s="699"/>
      <c r="BX168" s="699"/>
      <c r="BY168" s="699"/>
      <c r="BZ168" s="699"/>
      <c r="CA168" s="699"/>
      <c r="CB168" s="699"/>
      <c r="CC168" s="699"/>
      <c r="CD168" s="699"/>
      <c r="CE168" s="699"/>
    </row>
    <row r="169" spans="2:83">
      <c r="B169" s="150"/>
      <c r="AV169" s="699"/>
      <c r="BA169" s="699"/>
      <c r="BF169" s="699"/>
      <c r="BK169" s="699"/>
      <c r="BL169" s="261"/>
      <c r="BM169" s="261"/>
      <c r="BN169" s="261"/>
      <c r="BO169" s="261"/>
      <c r="BP169" s="699"/>
      <c r="BQ169" s="261"/>
      <c r="BR169" s="699"/>
      <c r="BS169" s="699"/>
      <c r="BT169" s="699"/>
      <c r="BU169" s="699"/>
      <c r="BV169" s="699"/>
      <c r="BW169" s="699"/>
      <c r="BX169" s="699"/>
      <c r="BY169" s="699"/>
      <c r="BZ169" s="699"/>
      <c r="CA169" s="699"/>
      <c r="CB169" s="699"/>
      <c r="CC169" s="699"/>
      <c r="CD169" s="699"/>
      <c r="CE169" s="699"/>
    </row>
    <row r="170" spans="2:83" hidden="1" outlineLevel="1">
      <c r="B170" s="144" t="s">
        <v>457</v>
      </c>
      <c r="AV170" s="699"/>
      <c r="AW170" s="699"/>
      <c r="AX170" s="699"/>
      <c r="AY170" s="699"/>
      <c r="AZ170" s="699"/>
      <c r="BA170" s="699"/>
      <c r="BB170" s="699"/>
      <c r="BC170" s="699"/>
      <c r="BD170" s="699"/>
      <c r="BE170" s="699"/>
      <c r="BF170" s="699"/>
      <c r="BG170" s="699"/>
      <c r="BH170" s="699"/>
      <c r="BI170" s="699"/>
      <c r="BJ170" s="699"/>
      <c r="BK170" s="699"/>
      <c r="BL170" s="699"/>
      <c r="BM170" s="699"/>
      <c r="BN170" s="699"/>
      <c r="BO170" s="699"/>
      <c r="BP170" s="699"/>
      <c r="BQ170" s="699"/>
      <c r="BR170" s="699"/>
      <c r="BS170" s="699"/>
      <c r="BT170" s="699"/>
      <c r="BU170" s="699"/>
      <c r="BV170" s="699"/>
      <c r="BW170" s="699"/>
      <c r="BX170" s="699"/>
      <c r="BY170" s="699"/>
      <c r="BZ170" s="699"/>
      <c r="CA170" s="699"/>
      <c r="CB170" s="699"/>
      <c r="CC170" s="699"/>
      <c r="CD170" s="699"/>
      <c r="CE170" s="699"/>
    </row>
    <row r="171" spans="2:83" hidden="1" outlineLevel="1">
      <c r="B171" s="144" t="s">
        <v>391</v>
      </c>
      <c r="AV171" s="699"/>
      <c r="AW171" s="699"/>
      <c r="AX171" s="699"/>
      <c r="AY171" s="699"/>
      <c r="AZ171" s="699"/>
      <c r="BA171" s="699"/>
      <c r="BB171" s="699"/>
      <c r="BC171" s="699"/>
      <c r="BD171" s="699"/>
      <c r="BE171" s="699"/>
      <c r="BF171" s="699"/>
      <c r="BG171" s="699"/>
      <c r="BH171" s="699"/>
      <c r="BI171" s="699"/>
      <c r="BJ171" s="699"/>
      <c r="BK171" s="699"/>
      <c r="BL171" s="699"/>
      <c r="BM171" s="699"/>
      <c r="BN171" s="699"/>
      <c r="BO171" s="699"/>
      <c r="BP171" s="699"/>
      <c r="BQ171" s="699"/>
      <c r="BR171" s="699"/>
      <c r="BS171" s="699"/>
      <c r="BT171" s="699"/>
      <c r="BU171" s="699"/>
      <c r="BV171" s="699"/>
      <c r="BW171" s="699"/>
      <c r="BX171" s="699"/>
      <c r="BY171" s="699"/>
      <c r="BZ171" s="699"/>
      <c r="CA171" s="699"/>
      <c r="CB171" s="699"/>
      <c r="CC171" s="699"/>
      <c r="CD171" s="699"/>
      <c r="CE171" s="699"/>
    </row>
    <row r="172" spans="2:83" hidden="1" outlineLevel="1">
      <c r="B172" s="144" t="s">
        <v>458</v>
      </c>
      <c r="AV172" s="699"/>
      <c r="AW172" s="699"/>
      <c r="AX172" s="699"/>
      <c r="AY172" s="699"/>
      <c r="AZ172" s="699"/>
      <c r="BA172" s="699"/>
      <c r="BB172" s="699"/>
      <c r="BC172" s="699"/>
      <c r="BD172" s="699"/>
      <c r="BE172" s="699"/>
      <c r="BF172" s="699"/>
      <c r="BG172" s="699"/>
      <c r="BH172" s="699"/>
      <c r="BI172" s="699"/>
      <c r="BJ172" s="699"/>
      <c r="BK172" s="699"/>
      <c r="BL172" s="699"/>
      <c r="BM172" s="699"/>
      <c r="BN172" s="699"/>
      <c r="BO172" s="699"/>
      <c r="BP172" s="699"/>
      <c r="BQ172" s="699"/>
      <c r="BR172" s="699"/>
      <c r="BS172" s="699"/>
      <c r="BT172" s="699"/>
      <c r="BU172" s="699"/>
      <c r="BV172" s="699"/>
      <c r="BW172" s="699"/>
      <c r="BX172" s="699"/>
      <c r="BY172" s="699"/>
      <c r="BZ172" s="699"/>
      <c r="CA172" s="699"/>
      <c r="CB172" s="699"/>
      <c r="CC172" s="699"/>
      <c r="CD172" s="699"/>
      <c r="CE172" s="699"/>
    </row>
    <row r="173" spans="2:83" hidden="1" outlineLevel="1">
      <c r="AV173" s="699"/>
      <c r="AW173" s="699"/>
      <c r="AX173" s="699"/>
      <c r="AY173" s="699"/>
      <c r="AZ173" s="699"/>
      <c r="BA173" s="699"/>
      <c r="BB173" s="699"/>
      <c r="BC173" s="699"/>
      <c r="BD173" s="699"/>
      <c r="BE173" s="699"/>
      <c r="BF173" s="699"/>
      <c r="BG173" s="699"/>
      <c r="BH173" s="699"/>
      <c r="BI173" s="699"/>
      <c r="BJ173" s="699"/>
      <c r="BK173" s="699"/>
      <c r="BL173" s="699"/>
      <c r="BM173" s="699"/>
      <c r="BN173" s="699"/>
      <c r="BO173" s="699"/>
      <c r="BP173" s="699"/>
      <c r="BQ173" s="699"/>
      <c r="BR173" s="699"/>
      <c r="BS173" s="699"/>
      <c r="BT173" s="699"/>
      <c r="BU173" s="699"/>
      <c r="BV173" s="699"/>
      <c r="BW173" s="699"/>
      <c r="BX173" s="699"/>
      <c r="BY173" s="699"/>
      <c r="BZ173" s="699"/>
      <c r="CA173" s="699"/>
      <c r="CB173" s="699"/>
      <c r="CC173" s="699"/>
      <c r="CD173" s="699"/>
      <c r="CE173" s="699"/>
    </row>
    <row r="174" spans="2:83" collapsed="1">
      <c r="B174" s="144" t="s">
        <v>3</v>
      </c>
      <c r="AV174" s="699"/>
      <c r="AW174" s="699">
        <f>+AW107</f>
        <v>96756</v>
      </c>
      <c r="AX174" s="699">
        <f>+AX107</f>
        <v>99702</v>
      </c>
      <c r="AY174" s="699">
        <f>+AY107</f>
        <v>104934</v>
      </c>
      <c r="AZ174" s="699">
        <f>+AZ107</f>
        <v>109780</v>
      </c>
      <c r="BA174" s="699"/>
      <c r="BB174" s="699">
        <f>+BB107</f>
        <v>113420</v>
      </c>
      <c r="BC174" s="699">
        <f>+BC107</f>
        <v>119893</v>
      </c>
      <c r="BD174" s="699">
        <f>+BD107</f>
        <v>125561</v>
      </c>
      <c r="BE174" s="699">
        <f>+BE107</f>
        <v>130849</v>
      </c>
      <c r="BF174" s="699"/>
      <c r="BG174" s="699">
        <f>+BG107</f>
        <v>130683</v>
      </c>
      <c r="BH174" s="699">
        <f>+BH107</f>
        <v>137209</v>
      </c>
      <c r="BI174" s="699">
        <f>+BI107</f>
        <v>141996</v>
      </c>
      <c r="BJ174" s="699">
        <f>+BJ107</f>
        <v>144570</v>
      </c>
      <c r="BK174" s="699"/>
      <c r="BL174" s="699">
        <f>+BL107</f>
        <v>145805</v>
      </c>
      <c r="BM174" s="699">
        <f>+BM107</f>
        <v>148708</v>
      </c>
      <c r="BN174" s="699">
        <f>+BN107</f>
        <v>153867</v>
      </c>
      <c r="BO174" s="699">
        <f>+BO107</f>
        <v>159191</v>
      </c>
      <c r="BP174" s="699"/>
      <c r="BQ174" s="699">
        <f>+BQ107</f>
        <v>159899</v>
      </c>
      <c r="BR174" s="699"/>
      <c r="BS174" s="699"/>
      <c r="BT174" s="699"/>
      <c r="BU174" s="699"/>
      <c r="BV174" s="699"/>
      <c r="BW174" s="699"/>
      <c r="BX174" s="699"/>
      <c r="BY174" s="699"/>
      <c r="BZ174" s="699"/>
      <c r="CA174" s="699"/>
      <c r="CB174" s="699"/>
      <c r="CC174" s="699"/>
      <c r="CD174" s="699"/>
      <c r="CE174" s="699"/>
    </row>
    <row r="175" spans="2:83" ht="16.5">
      <c r="B175" s="704" t="s">
        <v>459</v>
      </c>
      <c r="AV175" s="699"/>
      <c r="AW175" s="709">
        <f>AW137-AU137</f>
        <v>11682.720000000001</v>
      </c>
      <c r="AX175" s="709">
        <f>AX137-AW137</f>
        <v>4774.8700000000099</v>
      </c>
      <c r="AY175" s="709">
        <f>AY137-AX137</f>
        <v>9591.1699999999983</v>
      </c>
      <c r="AZ175" s="709">
        <f>AZ137-AY137</f>
        <v>13598.239999999991</v>
      </c>
      <c r="BA175" s="709"/>
      <c r="BB175" s="709">
        <f>BB137-AZ137</f>
        <v>20256.739999999991</v>
      </c>
      <c r="BC175" s="709">
        <f>BC137-BB137</f>
        <v>-6375.3600000000151</v>
      </c>
      <c r="BD175" s="709">
        <f>BD137-BC137</f>
        <v>-6385.7999999999884</v>
      </c>
      <c r="BE175" s="709">
        <f>BE137-BD137</f>
        <v>8299.4200000000128</v>
      </c>
      <c r="BF175" s="709"/>
      <c r="BG175" s="709">
        <f>BG137-BE137</f>
        <v>10771.559999999998</v>
      </c>
      <c r="BH175" s="709">
        <f>BH137-BG137</f>
        <v>-2515.5599999999977</v>
      </c>
      <c r="BI175" s="709">
        <f>BI137-BH137</f>
        <v>8898.25</v>
      </c>
      <c r="BJ175" s="709">
        <f>BJ137-BI137</f>
        <v>25110.75</v>
      </c>
      <c r="BK175" s="699"/>
      <c r="BL175" s="709">
        <f>BL137-BJ137</f>
        <v>-2259</v>
      </c>
      <c r="BM175" s="709">
        <f>BM137-BL137</f>
        <v>-7008.5</v>
      </c>
      <c r="BN175" s="709">
        <f>BN137-BM137</f>
        <v>16932.5</v>
      </c>
      <c r="BO175" s="709">
        <f>BO137-BN137</f>
        <v>26474.425625000003</v>
      </c>
      <c r="BP175" s="699"/>
      <c r="BQ175" s="709">
        <f>BQ137-BO137</f>
        <v>-40648.425625000003</v>
      </c>
      <c r="BR175" s="699"/>
      <c r="BS175" s="699"/>
      <c r="BT175" s="699"/>
      <c r="BU175" s="699"/>
      <c r="BV175" s="699"/>
      <c r="BW175" s="699"/>
      <c r="BX175" s="699"/>
      <c r="BY175" s="699"/>
      <c r="BZ175" s="699"/>
      <c r="CA175" s="699"/>
      <c r="CB175" s="699"/>
      <c r="CC175" s="699"/>
      <c r="CD175" s="699"/>
      <c r="CE175" s="699"/>
    </row>
    <row r="176" spans="2:83">
      <c r="B176" s="144" t="s">
        <v>460</v>
      </c>
      <c r="AV176" s="699"/>
      <c r="AW176" s="699">
        <f>SUM(AW174:AW175)</f>
        <v>108438.72</v>
      </c>
      <c r="AX176" s="699">
        <f>SUM(AX174:AX175)</f>
        <v>104476.87000000001</v>
      </c>
      <c r="AY176" s="699">
        <f>SUM(AY174:AY175)</f>
        <v>114525.17</v>
      </c>
      <c r="AZ176" s="699">
        <f>SUM(AZ174:AZ175)</f>
        <v>123378.23999999999</v>
      </c>
      <c r="BA176" s="699"/>
      <c r="BB176" s="699">
        <f>SUM(BB174:BB175)</f>
        <v>133676.74</v>
      </c>
      <c r="BC176" s="699">
        <f>SUM(BC174:BC175)</f>
        <v>113517.63999999998</v>
      </c>
      <c r="BD176" s="699">
        <f>SUM(BD174:BD175)</f>
        <v>119175.20000000001</v>
      </c>
      <c r="BE176" s="699">
        <f>SUM(BE174:BE175)</f>
        <v>139148.42000000001</v>
      </c>
      <c r="BF176" s="699"/>
      <c r="BG176" s="699">
        <f>SUM(BG174:BG175)</f>
        <v>141454.56</v>
      </c>
      <c r="BH176" s="699">
        <f>SUM(BH174:BH175)</f>
        <v>134693.44</v>
      </c>
      <c r="BI176" s="699">
        <f>SUM(BI174:BI175)</f>
        <v>150894.25</v>
      </c>
      <c r="BJ176" s="699">
        <f>SUM(BJ174:BJ175)</f>
        <v>169680.75</v>
      </c>
      <c r="BK176" s="699"/>
      <c r="BL176" s="699">
        <f>SUM(BL174:BL175)</f>
        <v>143546</v>
      </c>
      <c r="BM176" s="699">
        <f>SUM(BM174:BM175)</f>
        <v>141699.5</v>
      </c>
      <c r="BN176" s="699">
        <f>SUM(BN174:BN175)</f>
        <v>170799.5</v>
      </c>
      <c r="BO176" s="699">
        <f>SUM(BO174:BO175)</f>
        <v>185665.425625</v>
      </c>
      <c r="BP176" s="699"/>
      <c r="BQ176" s="699">
        <f>SUM(BQ174:BQ175)</f>
        <v>119250.574375</v>
      </c>
      <c r="BR176" s="699"/>
      <c r="BS176" s="699"/>
      <c r="BT176" s="699"/>
      <c r="BU176" s="699"/>
      <c r="BV176" s="699"/>
      <c r="BW176" s="699"/>
      <c r="BX176" s="699"/>
      <c r="BY176" s="699"/>
      <c r="BZ176" s="699"/>
      <c r="CA176" s="699"/>
      <c r="CB176" s="699"/>
      <c r="CC176" s="699"/>
      <c r="CD176" s="699"/>
      <c r="CE176" s="699"/>
    </row>
    <row r="177" spans="2:83">
      <c r="B177" s="126" t="s">
        <v>461</v>
      </c>
      <c r="AV177" s="699"/>
      <c r="BA177" s="699"/>
      <c r="BB177" s="261">
        <f>BB176/AW176-1</f>
        <v>0.23273992905855012</v>
      </c>
      <c r="BC177" s="261">
        <f>BC176/AX176-1</f>
        <v>8.6533698798595182E-2</v>
      </c>
      <c r="BD177" s="261">
        <f>BD176/AY176-1</f>
        <v>4.0602690220848503E-2</v>
      </c>
      <c r="BE177" s="261">
        <f>BE176/AZ176-1</f>
        <v>0.12781978410455541</v>
      </c>
      <c r="BF177" s="699"/>
      <c r="BG177" s="261">
        <f>BG176/BB176-1</f>
        <v>5.8183794727489691E-2</v>
      </c>
      <c r="BH177" s="261">
        <f>BH176/BC176-1</f>
        <v>0.18654193304230082</v>
      </c>
      <c r="BI177" s="261">
        <f>BI176/BD176-1</f>
        <v>0.2661547872376131</v>
      </c>
      <c r="BJ177" s="261">
        <f>BJ176/BE176-1</f>
        <v>0.21942275736943317</v>
      </c>
      <c r="BK177" s="699"/>
      <c r="BL177" s="261">
        <f>BL176/BG176-1</f>
        <v>1.4785242695604772E-2</v>
      </c>
      <c r="BM177" s="261">
        <f>BM176/BH176-1</f>
        <v>5.2014856848262125E-2</v>
      </c>
      <c r="BN177" s="261">
        <f>BN176/BI176-1</f>
        <v>0.13191523202507716</v>
      </c>
      <c r="BO177" s="261">
        <f>BO176/BJ176-1</f>
        <v>9.420441402457258E-2</v>
      </c>
      <c r="BP177" s="699"/>
      <c r="BQ177" s="261">
        <f>BQ176/BL176-1</f>
        <v>-0.16925184696891593</v>
      </c>
      <c r="BR177" s="699"/>
      <c r="BS177" s="699"/>
      <c r="BT177" s="699"/>
      <c r="BU177" s="699"/>
      <c r="BV177" s="699"/>
      <c r="BW177" s="699"/>
      <c r="BX177" s="699"/>
      <c r="BY177" s="699"/>
      <c r="BZ177" s="699"/>
      <c r="CA177" s="699"/>
      <c r="CB177" s="699"/>
      <c r="CC177" s="699"/>
      <c r="CD177" s="699"/>
      <c r="CE177" s="699"/>
    </row>
    <row r="178" spans="2:83">
      <c r="B178" t="s">
        <v>462</v>
      </c>
      <c r="AV178" s="699"/>
      <c r="AX178" s="261">
        <f>AX176/AW176-1</f>
        <v>-3.6535381457840854E-2</v>
      </c>
      <c r="AY178" s="261">
        <f>AY176/AX176-1</f>
        <v>9.6177268710289532E-2</v>
      </c>
      <c r="AZ178" s="261">
        <f>AZ176/AY176-1</f>
        <v>7.7302395621853259E-2</v>
      </c>
      <c r="BA178" s="699"/>
      <c r="BB178" s="261">
        <f>BB176/AZ176-1</f>
        <v>8.3470958898424819E-2</v>
      </c>
      <c r="BC178" s="261">
        <f>BC176/BB176-1</f>
        <v>-0.15080484458253551</v>
      </c>
      <c r="BD178" s="261">
        <f>BD176/BC176-1</f>
        <v>4.983859777211741E-2</v>
      </c>
      <c r="BE178" s="261">
        <f>BE176/BD176-1</f>
        <v>0.16759543931958998</v>
      </c>
      <c r="BF178" s="699"/>
      <c r="BG178" s="261">
        <f>BG176/BE176-1</f>
        <v>1.6573238848130556E-2</v>
      </c>
      <c r="BH178" s="261">
        <f>BH176/BG176-1</f>
        <v>-4.7797115907751597E-2</v>
      </c>
      <c r="BI178" s="261">
        <f>BI176/BH176-1</f>
        <v>0.1202791316340277</v>
      </c>
      <c r="BJ178" s="261">
        <f>BJ176/BI176-1</f>
        <v>0.12450109927979369</v>
      </c>
      <c r="BK178" s="699"/>
      <c r="BL178" s="261">
        <f>BL176/BJ176-1</f>
        <v>-0.15402306979430491</v>
      </c>
      <c r="BM178" s="261">
        <f>BM176/BL176-1</f>
        <v>-1.2863472336393955E-2</v>
      </c>
      <c r="BN178" s="261">
        <f>BN176/BM176-1</f>
        <v>0.20536416853976203</v>
      </c>
      <c r="BO178" s="261">
        <f>BO176/BN176-1</f>
        <v>8.7037290068179285E-2</v>
      </c>
      <c r="BP178" s="699"/>
      <c r="BQ178" s="261">
        <f>BQ176/BO176-1</f>
        <v>-0.35771254139767628</v>
      </c>
      <c r="BR178" s="699"/>
      <c r="BS178" s="699"/>
      <c r="BT178" s="699"/>
      <c r="BU178" s="699"/>
      <c r="BV178" s="699"/>
      <c r="BW178" s="699"/>
      <c r="BX178" s="699"/>
      <c r="BY178" s="699"/>
      <c r="BZ178" s="699"/>
      <c r="CA178" s="699"/>
      <c r="CB178" s="699"/>
      <c r="CC178" s="699"/>
      <c r="CD178" s="699"/>
      <c r="CE178" s="699"/>
    </row>
    <row r="179" spans="2:83">
      <c r="B179" t="s">
        <v>468</v>
      </c>
      <c r="AV179" s="699"/>
      <c r="BA179" s="699"/>
      <c r="BE179" s="261">
        <f>SUM(BE176,BD176,BC176,BB176)/SUM(AZ176,AY176,AX176,AW176)-1</f>
        <v>0.12133250816846664</v>
      </c>
      <c r="BF179" s="699"/>
      <c r="BG179" s="261">
        <f>SUM(BG176,BE176,BD176,BC176)/SUM(BB176,AZ176,AY176,AX176)-1</f>
        <v>7.8223402734403535E-2</v>
      </c>
      <c r="BH179" s="261">
        <f>SUM(BH176,BG176,BE176,BD176)/SUM(BC176,BB176,AZ176,AY176)-1</f>
        <v>0.10178118931442692</v>
      </c>
      <c r="BI179" s="261">
        <f>SUM(BI176,BH176,BG176,BE176)/SUM(BD176,BC176,BB176,AZ176)-1</f>
        <v>0.15608614653966213</v>
      </c>
      <c r="BJ179" s="261">
        <f>SUM(BJ176,BI176,BH176,BG176)/SUM(BE176,BD176,BC176,BB176)-1</f>
        <v>0.18041889705213277</v>
      </c>
      <c r="BK179" s="699"/>
      <c r="BL179" s="261">
        <f>SUM(BL176,BJ176,BI176,BH176)/SUM(BG176,BE176,BD176,BC176)-1</f>
        <v>0.166606889571008</v>
      </c>
      <c r="BM179" s="261">
        <f>SUM(BM176,BL176,BJ176,BI176)/SUM(BH176,BG176,BE176,BD176)-1</f>
        <v>0.13349423492308143</v>
      </c>
      <c r="BN179" s="261">
        <f>SUM(BN176,BM176,BL176,BJ176)/SUM(BI176,BH176,BG176,BE176)-1</f>
        <v>0.10515023145824709</v>
      </c>
      <c r="BO179" s="261">
        <f>SUM(BO176,BN176,BM176,BL176)/SUM(BJ176,BI176,BH176,BG176)-1</f>
        <v>7.5390802139351232E-2</v>
      </c>
      <c r="BP179" s="699"/>
      <c r="BQ179" s="261">
        <f>SUM(BQ176,BO176,BN176,BM176)/SUM(BL176,BJ176,BI176,BH176)-1</f>
        <v>3.1062310387839132E-2</v>
      </c>
      <c r="BR179" s="699"/>
      <c r="BS179" s="699"/>
      <c r="BT179" s="699"/>
      <c r="BU179" s="699"/>
      <c r="BV179" s="699"/>
      <c r="BW179" s="699"/>
      <c r="BX179" s="699"/>
      <c r="BY179" s="699"/>
      <c r="BZ179" s="699"/>
      <c r="CA179" s="699"/>
      <c r="CB179" s="699"/>
      <c r="CC179" s="699"/>
      <c r="CD179" s="699"/>
      <c r="CE179" s="699"/>
    </row>
    <row r="180" spans="2:83">
      <c r="BL180" s="261"/>
      <c r="BM180" s="261"/>
      <c r="BN180" s="261"/>
      <c r="BO180" s="261"/>
      <c r="BQ180" s="261"/>
    </row>
    <row r="181" spans="2:83">
      <c r="B181" s="308" t="s">
        <v>493</v>
      </c>
      <c r="AW181" s="701">
        <f>SUM(AW163,AU163,AT163,AS163)</f>
        <v>317617</v>
      </c>
      <c r="AX181" s="701">
        <f>SUM(AX163,AW163,AU163,AT163)</f>
        <v>422161</v>
      </c>
      <c r="AY181" s="701">
        <f>SUM(AY163,AX163,AW163,AU163)</f>
        <v>549880</v>
      </c>
      <c r="AZ181" s="701">
        <f>SUM(AZ163,AY163,AX163,AW163)</f>
        <v>694859</v>
      </c>
      <c r="BB181" s="701">
        <f>SUM(BB163,AZ163,AY163,AX163)</f>
        <v>488128</v>
      </c>
      <c r="BC181" s="701">
        <f>SUM(BC163,BB163,AZ163,AY163)</f>
        <v>492485</v>
      </c>
      <c r="BD181" s="701">
        <f>SUM(BD163,BC163,BB163,AZ163)</f>
        <v>479317</v>
      </c>
      <c r="BE181" s="701">
        <f>SUM(BE163,BD163,BC163,BB163)</f>
        <v>478167</v>
      </c>
      <c r="BG181" s="701">
        <f>SUM(BG163,BE163,BD163,BC163)</f>
        <v>517865</v>
      </c>
      <c r="BH181" s="701">
        <f>SUM(BH163,BG163,BE163,BD163)</f>
        <v>574927</v>
      </c>
      <c r="BI181" s="701">
        <f>SUM(BI163,BH163,BG163,BE163)</f>
        <v>612276</v>
      </c>
      <c r="BJ181" s="701">
        <f>SUM(BJ163,BI163,BH163,BG163)</f>
        <v>656742</v>
      </c>
      <c r="BL181" s="701">
        <f>SUM(BL163,BJ163,BI163,BH163)</f>
        <v>654300</v>
      </c>
      <c r="BM181" s="701">
        <f>SUM(BM163,BL163,BJ163,BI163)</f>
        <v>625162</v>
      </c>
      <c r="BN181" s="701">
        <f>SUM(BN163,BM163,BL163,BJ163)</f>
        <v>645561</v>
      </c>
      <c r="BO181" s="701">
        <f>SUM(BO163,BN163,BM163,BL163)</f>
        <v>664369.625</v>
      </c>
      <c r="BQ181" s="701">
        <f>SUM(BQ163,BO163,BN163,BM163)</f>
        <v>672519</v>
      </c>
    </row>
    <row r="182" spans="2:83">
      <c r="BG182" s="261">
        <f>BG181/BB181-1</f>
        <v>6.0920496263275226E-2</v>
      </c>
      <c r="BH182" s="261">
        <f>BH181/BC181-1</f>
        <v>0.16740002233570572</v>
      </c>
      <c r="BI182" s="261">
        <f>BI181/BD181-1</f>
        <v>0.27739262325350444</v>
      </c>
      <c r="BJ182" s="261">
        <f>BJ181/BE181-1</f>
        <v>0.37345739040962678</v>
      </c>
      <c r="BL182" s="261">
        <f>BL181/BG181-1</f>
        <v>0.26345669238121894</v>
      </c>
      <c r="BM182" s="261">
        <f>BM181/BH181-1</f>
        <v>8.7376310383753042E-2</v>
      </c>
      <c r="BN182" s="261">
        <f>BN181/BI181-1</f>
        <v>5.4362738372890629E-2</v>
      </c>
      <c r="BO182" s="261">
        <f>BO181/BJ181-1</f>
        <v>1.1614340182293903E-2</v>
      </c>
      <c r="BQ182" s="261">
        <f>BQ181/BL181-1</f>
        <v>2.7845025217789976E-2</v>
      </c>
    </row>
    <row r="183" spans="2:83">
      <c r="BG183" s="261">
        <f>BG181/BE181-1</f>
        <v>8.3021203889017903E-2</v>
      </c>
      <c r="BH183" s="261">
        <f>BH181/BG181-1</f>
        <v>0.11018701785214291</v>
      </c>
      <c r="BI183" s="261">
        <f>BI181/BH181-1</f>
        <v>6.4963030089037366E-2</v>
      </c>
      <c r="BJ183" s="261">
        <f>BJ181/BI181-1</f>
        <v>7.2624110695176602E-2</v>
      </c>
      <c r="BL183" s="261">
        <f>BL181/BJ181-1</f>
        <v>-3.7183551531652093E-3</v>
      </c>
      <c r="BM183" s="261">
        <f>BM181/BL181-1</f>
        <v>-4.453308879718787E-2</v>
      </c>
      <c r="BN183" s="261">
        <f>BN181/BM181-1</f>
        <v>3.2629942318950889E-2</v>
      </c>
      <c r="BO183" s="261">
        <f>BO181/BN181-1</f>
        <v>2.9135317963755458E-2</v>
      </c>
      <c r="BQ183" s="261">
        <f>BQ181/BO181-1</f>
        <v>1.2266326895965518E-2</v>
      </c>
    </row>
    <row r="184" spans="2:83">
      <c r="BL184" s="261"/>
      <c r="BM184" s="261"/>
      <c r="BN184" s="261"/>
      <c r="BO184" s="261"/>
      <c r="BQ184" s="261"/>
    </row>
    <row r="185" spans="2:83" ht="17.649999999999999">
      <c r="B185" s="263" t="s">
        <v>494</v>
      </c>
      <c r="BL185" s="261"/>
      <c r="BM185" s="261"/>
      <c r="BN185" s="261"/>
      <c r="BO185" s="261"/>
      <c r="BQ185" s="261"/>
    </row>
    <row r="186" spans="2:83">
      <c r="BL186" s="261"/>
      <c r="BM186" s="261"/>
      <c r="BN186" s="261"/>
      <c r="BO186" s="261"/>
      <c r="BQ186" s="261"/>
    </row>
    <row r="187" spans="2:83">
      <c r="B187" s="151" t="s">
        <v>489</v>
      </c>
      <c r="BG187" s="699">
        <f>BG188*BG$181</f>
        <v>450542.55</v>
      </c>
      <c r="BH187" s="699">
        <f>BH188*BH$181</f>
        <v>500186.49</v>
      </c>
      <c r="BI187" s="699">
        <f>BI188*BI$181</f>
        <v>514311.83999999997</v>
      </c>
      <c r="BJ187" s="699">
        <f>BJ188*BJ$181</f>
        <v>545095.86</v>
      </c>
      <c r="BL187" s="699">
        <f>BL188*BL$181</f>
        <v>543069</v>
      </c>
      <c r="BM187" s="699">
        <f>BM188*BM$181</f>
        <v>518884.45999999996</v>
      </c>
      <c r="BN187" s="699">
        <f>BN188*BN$181</f>
        <v>522904.41</v>
      </c>
      <c r="BO187" s="699">
        <f>BO188*BO$181</f>
        <v>538139.39624999999</v>
      </c>
      <c r="BQ187" s="699">
        <f>BQ188*BQ$181</f>
        <v>538015.19999999995</v>
      </c>
    </row>
    <row r="188" spans="2:83">
      <c r="B188" t="s">
        <v>492</v>
      </c>
      <c r="BG188" s="261">
        <f>1-BG193-BG198</f>
        <v>0.87</v>
      </c>
      <c r="BH188" s="261">
        <f>1-BH193-BH198</f>
        <v>0.87</v>
      </c>
      <c r="BI188" s="261">
        <f>1-BI193-BI198</f>
        <v>0.84</v>
      </c>
      <c r="BJ188" s="261">
        <f>1-BJ193-BJ198</f>
        <v>0.83</v>
      </c>
      <c r="BL188" s="261">
        <f>1-BL193-BL198</f>
        <v>0.83</v>
      </c>
      <c r="BM188" s="261">
        <f>1-BM193-BM198</f>
        <v>0.83</v>
      </c>
      <c r="BN188" s="261">
        <f>1-BN193-BN198</f>
        <v>0.80999999999999994</v>
      </c>
      <c r="BO188" s="261">
        <f>1-BO193-BO198</f>
        <v>0.80999999999999994</v>
      </c>
      <c r="BQ188" s="261">
        <f>1-BQ193-BQ198</f>
        <v>0.79999999999999993</v>
      </c>
    </row>
    <row r="189" spans="2:83">
      <c r="B189" s="273" t="s">
        <v>128</v>
      </c>
      <c r="BL189" s="261">
        <f>BL187/BG187-1</f>
        <v>0.20536672951311696</v>
      </c>
      <c r="BM189" s="261">
        <f>BM187/BH187-1</f>
        <v>3.7381997262661004E-2</v>
      </c>
      <c r="BN189" s="261">
        <f>BN187/BI187-1</f>
        <v>1.6706926288144519E-2</v>
      </c>
      <c r="BO189" s="261">
        <f>BO187/BJ187-1</f>
        <v>-1.2761908978725311E-2</v>
      </c>
      <c r="BQ189" s="261">
        <f>BQ187/BL187-1</f>
        <v>-9.3059997900819535E-3</v>
      </c>
    </row>
    <row r="190" spans="2:83">
      <c r="B190" s="273" t="s">
        <v>129</v>
      </c>
      <c r="BH190" s="261">
        <f>BH187/BG187-1</f>
        <v>0.11018701785214291</v>
      </c>
      <c r="BI190" s="261">
        <f>BI187/BH187-1</f>
        <v>2.8240166982518744E-2</v>
      </c>
      <c r="BJ190" s="261">
        <f>BJ187/BI187-1</f>
        <v>5.9854776044043767E-2</v>
      </c>
      <c r="BL190" s="261">
        <f>BL187/BJ187-1</f>
        <v>-3.7183551531650982E-3</v>
      </c>
      <c r="BM190" s="261">
        <f>BM187/BL187-1</f>
        <v>-4.453308879718787E-2</v>
      </c>
      <c r="BN190" s="261">
        <f>BN187/BM187-1</f>
        <v>7.7472931064461736E-3</v>
      </c>
      <c r="BO190" s="261">
        <f>BO187/BN187-1</f>
        <v>2.913531796375568E-2</v>
      </c>
      <c r="BQ190" s="261">
        <f>BQ187/BO187-1</f>
        <v>-2.3078825089839494E-4</v>
      </c>
    </row>
    <row r="191" spans="2:83">
      <c r="B191" s="273"/>
      <c r="BL191" s="261"/>
      <c r="BM191" s="261"/>
      <c r="BN191" s="261"/>
      <c r="BO191" s="261"/>
      <c r="BQ191" s="261"/>
    </row>
    <row r="192" spans="2:83">
      <c r="B192" s="151" t="s">
        <v>490</v>
      </c>
      <c r="BG192" s="699">
        <f>BG193*BG$181</f>
        <v>51786.5</v>
      </c>
      <c r="BH192" s="699">
        <f>BH193*BH$181</f>
        <v>57492.700000000004</v>
      </c>
      <c r="BI192" s="699">
        <f>BI193*BI$181</f>
        <v>67350.36</v>
      </c>
      <c r="BJ192" s="699">
        <f>BJ193*BJ$181</f>
        <v>78809.039999999994</v>
      </c>
      <c r="BL192" s="699">
        <f>BL193*BL$181</f>
        <v>85059</v>
      </c>
      <c r="BM192" s="699">
        <f>BM193*BM$181</f>
        <v>81271.06</v>
      </c>
      <c r="BN192" s="699">
        <f>BN193*BN$181</f>
        <v>96834.15</v>
      </c>
      <c r="BO192" s="699">
        <f>BO193*BO$181</f>
        <v>99655.443749999991</v>
      </c>
      <c r="BQ192" s="699">
        <f>BQ193*BQ$181</f>
        <v>100877.84999999999</v>
      </c>
    </row>
    <row r="193" spans="2:69">
      <c r="B193" t="s">
        <v>492</v>
      </c>
      <c r="BG193" s="261">
        <v>0.1</v>
      </c>
      <c r="BH193" s="261">
        <v>0.1</v>
      </c>
      <c r="BI193" s="261">
        <v>0.11</v>
      </c>
      <c r="BJ193" s="261">
        <v>0.12</v>
      </c>
      <c r="BL193" s="261">
        <v>0.13</v>
      </c>
      <c r="BM193" s="261">
        <v>0.13</v>
      </c>
      <c r="BN193" s="261">
        <v>0.15</v>
      </c>
      <c r="BO193" s="261">
        <v>0.15</v>
      </c>
      <c r="BQ193" s="716">
        <v>0.15</v>
      </c>
    </row>
    <row r="194" spans="2:69">
      <c r="B194" s="273" t="s">
        <v>128</v>
      </c>
      <c r="BL194" s="261">
        <f>BL192/BG192-1</f>
        <v>0.64249370009558482</v>
      </c>
      <c r="BM194" s="261">
        <f>BM192/BH192-1</f>
        <v>0.41358920349887884</v>
      </c>
      <c r="BN194" s="261">
        <f>BN192/BI192-1</f>
        <v>0.43776737050848724</v>
      </c>
      <c r="BO194" s="261">
        <f>BO192/BJ192-1</f>
        <v>0.26451792522786732</v>
      </c>
      <c r="BQ194" s="261">
        <f>BQ192/BL192-1</f>
        <v>0.18597502909745001</v>
      </c>
    </row>
    <row r="195" spans="2:69">
      <c r="B195" s="273" t="s">
        <v>129</v>
      </c>
      <c r="BH195" s="261">
        <f>BH192/BG192-1</f>
        <v>0.11018701785214291</v>
      </c>
      <c r="BI195" s="261">
        <f>BI192/BH192-1</f>
        <v>0.17145933309794104</v>
      </c>
      <c r="BJ195" s="261">
        <f>BJ192/BI192-1</f>
        <v>0.1701353934856471</v>
      </c>
      <c r="BL195" s="261">
        <f>BL192/BJ192-1</f>
        <v>7.9305115250737801E-2</v>
      </c>
      <c r="BM195" s="261">
        <f>BM192/BL192-1</f>
        <v>-4.453308879718787E-2</v>
      </c>
      <c r="BN195" s="261">
        <f>BN192/BM192-1</f>
        <v>0.19149608729109713</v>
      </c>
      <c r="BO195" s="261">
        <f>BO192/BN192-1</f>
        <v>2.9135317963755458E-2</v>
      </c>
      <c r="BQ195" s="261">
        <f>BQ192/BO192-1</f>
        <v>1.2266326895965518E-2</v>
      </c>
    </row>
    <row r="196" spans="2:69">
      <c r="B196" s="273"/>
      <c r="BL196" s="261"/>
      <c r="BM196" s="261"/>
      <c r="BN196" s="261"/>
      <c r="BO196" s="261"/>
      <c r="BQ196" s="261"/>
    </row>
    <row r="197" spans="2:69">
      <c r="B197" s="151" t="s">
        <v>491</v>
      </c>
      <c r="BG197" s="699">
        <f>BG198*BG$181</f>
        <v>15535.949999999999</v>
      </c>
      <c r="BH197" s="699">
        <f>BH198*BH$181</f>
        <v>17247.809999999998</v>
      </c>
      <c r="BI197" s="699">
        <f>BI198*BI$181</f>
        <v>30613.800000000003</v>
      </c>
      <c r="BJ197" s="699">
        <f>BJ198*BJ$181</f>
        <v>32837.1</v>
      </c>
      <c r="BL197" s="699">
        <f>BL198*BL$181</f>
        <v>26172</v>
      </c>
      <c r="BM197" s="699">
        <f>BM198*BM$181</f>
        <v>25006.48</v>
      </c>
      <c r="BN197" s="699">
        <f>BN198*BN$181</f>
        <v>25822.440000000002</v>
      </c>
      <c r="BO197" s="699">
        <f>BO198*BO$181</f>
        <v>26574.785</v>
      </c>
      <c r="BQ197" s="699">
        <f>BQ198*BQ$181</f>
        <v>33625.950000000004</v>
      </c>
    </row>
    <row r="198" spans="2:69">
      <c r="B198" t="s">
        <v>492</v>
      </c>
      <c r="BG198" s="261">
        <v>0.03</v>
      </c>
      <c r="BH198" s="261">
        <v>0.03</v>
      </c>
      <c r="BI198" s="261">
        <v>0.05</v>
      </c>
      <c r="BJ198" s="261">
        <v>0.05</v>
      </c>
      <c r="BL198" s="261">
        <v>0.04</v>
      </c>
      <c r="BM198" s="261">
        <v>0.04</v>
      </c>
      <c r="BN198" s="261">
        <v>0.04</v>
      </c>
      <c r="BO198" s="261">
        <v>0.04</v>
      </c>
      <c r="BQ198" s="716">
        <v>0.05</v>
      </c>
    </row>
    <row r="199" spans="2:69">
      <c r="B199" s="273" t="s">
        <v>128</v>
      </c>
      <c r="BL199" s="261">
        <f>BL197/BG197-1</f>
        <v>0.68460892317495881</v>
      </c>
      <c r="BM199" s="261">
        <f>BM197/BH197-1</f>
        <v>0.44983508051167087</v>
      </c>
      <c r="BN199" s="261">
        <f>BN197/BI197-1</f>
        <v>-0.15650980930168745</v>
      </c>
      <c r="BO199" s="261">
        <f>BO197/BJ197-1</f>
        <v>-0.19070852785416492</v>
      </c>
      <c r="BQ199" s="261">
        <f>BQ197/BL197-1</f>
        <v>0.28480628152223764</v>
      </c>
    </row>
    <row r="200" spans="2:69">
      <c r="B200" s="273" t="s">
        <v>129</v>
      </c>
      <c r="BH200" s="261">
        <f>BH197/BG197-1</f>
        <v>0.11018701785214291</v>
      </c>
      <c r="BI200" s="261">
        <f>BI197/BH197-1</f>
        <v>0.77493838348172939</v>
      </c>
      <c r="BJ200" s="261">
        <f>BJ197/BI197-1</f>
        <v>7.2624110695176602E-2</v>
      </c>
      <c r="BL200" s="261">
        <f>BL197/BJ197-1</f>
        <v>-0.20297468412253206</v>
      </c>
      <c r="BM200" s="261">
        <f>BM197/BL197-1</f>
        <v>-4.453308879718787E-2</v>
      </c>
      <c r="BN200" s="261">
        <f>BN197/BM197-1</f>
        <v>3.2629942318951111E-2</v>
      </c>
      <c r="BO200" s="261">
        <f>BO197/BN197-1</f>
        <v>2.9135317963755458E-2</v>
      </c>
      <c r="BQ200" s="261">
        <f>BQ197/BO197-1</f>
        <v>0.26533290861995695</v>
      </c>
    </row>
    <row r="201" spans="2:69">
      <c r="BL201" s="261"/>
      <c r="BM201" s="261"/>
      <c r="BN201" s="261"/>
      <c r="BO201" s="261"/>
    </row>
    <row r="202" spans="2:69">
      <c r="BL202" s="261"/>
      <c r="BM202" s="261"/>
      <c r="BN202" s="261"/>
      <c r="BO202" s="261"/>
    </row>
    <row r="203" spans="2:69">
      <c r="BL203" s="261"/>
      <c r="BM203" s="261"/>
      <c r="BN203" s="261"/>
      <c r="BO203" s="261"/>
    </row>
    <row r="204" spans="2:69">
      <c r="BL204" s="261"/>
      <c r="BM204" s="261"/>
      <c r="BN204" s="261"/>
      <c r="BO204" s="261"/>
    </row>
    <row r="205" spans="2:69">
      <c r="BL205" s="261"/>
      <c r="BM205" s="261"/>
      <c r="BN205" s="261"/>
      <c r="BO205" s="261"/>
    </row>
    <row r="206" spans="2:69">
      <c r="BL206" s="261"/>
      <c r="BM206" s="261"/>
      <c r="BN206" s="261"/>
      <c r="BO206" s="261"/>
    </row>
    <row r="207" spans="2:69">
      <c r="BL207" s="261"/>
      <c r="BM207" s="261"/>
      <c r="BN207" s="261"/>
      <c r="BO207" s="261"/>
    </row>
    <row r="208" spans="2:69">
      <c r="BL208" s="261"/>
      <c r="BM208" s="261"/>
      <c r="BN208" s="261"/>
      <c r="BO208" s="261"/>
    </row>
    <row r="209" spans="64:67">
      <c r="BL209" s="261"/>
      <c r="BM209" s="261"/>
      <c r="BN209" s="261"/>
      <c r="BO209" s="261"/>
    </row>
    <row r="210" spans="64:67">
      <c r="BL210" s="261"/>
      <c r="BM210" s="261"/>
      <c r="BN210" s="261"/>
      <c r="BO210" s="261"/>
    </row>
    <row r="211" spans="64:67">
      <c r="BL211" s="261"/>
      <c r="BM211" s="261"/>
      <c r="BN211" s="261"/>
      <c r="BO211" s="261"/>
    </row>
    <row r="212" spans="64:67">
      <c r="BL212" s="261"/>
      <c r="BM212" s="261"/>
      <c r="BN212" s="261"/>
      <c r="BO212" s="261"/>
    </row>
    <row r="213" spans="64:67">
      <c r="BL213" s="261"/>
      <c r="BM213" s="261"/>
      <c r="BN213" s="261"/>
      <c r="BO213" s="261"/>
    </row>
    <row r="214" spans="64:67">
      <c r="BL214" s="261"/>
      <c r="BM214" s="261"/>
      <c r="BN214" s="261"/>
      <c r="BO214" s="261"/>
    </row>
    <row r="215" spans="64:67">
      <c r="BL215" s="261"/>
      <c r="BM215" s="261"/>
      <c r="BN215" s="261"/>
      <c r="BO215" s="261"/>
    </row>
    <row r="216" spans="64:67">
      <c r="BL216" s="261"/>
      <c r="BM216" s="261"/>
      <c r="BN216" s="261"/>
      <c r="BO216" s="261"/>
    </row>
    <row r="217" spans="64:67">
      <c r="BL217" s="261"/>
      <c r="BM217" s="261"/>
      <c r="BN217" s="261"/>
      <c r="BO217" s="261"/>
    </row>
    <row r="218" spans="64:67">
      <c r="BL218" s="261"/>
      <c r="BM218" s="261"/>
      <c r="BN218" s="261"/>
      <c r="BO218" s="261"/>
    </row>
    <row r="219" spans="64:67">
      <c r="BL219" s="261"/>
      <c r="BM219" s="261"/>
      <c r="BN219" s="261"/>
      <c r="BO219" s="261"/>
    </row>
    <row r="220" spans="64:67">
      <c r="BL220" s="261"/>
      <c r="BM220" s="261"/>
      <c r="BN220" s="261"/>
      <c r="BO220" s="261"/>
    </row>
    <row r="221" spans="64:67">
      <c r="BL221" s="261"/>
      <c r="BM221" s="261"/>
      <c r="BN221" s="261"/>
      <c r="BO221" s="261"/>
    </row>
    <row r="222" spans="64:67">
      <c r="BL222" s="261"/>
      <c r="BM222" s="261"/>
      <c r="BN222" s="261"/>
      <c r="BO222" s="261"/>
    </row>
    <row r="223" spans="64:67">
      <c r="BL223" s="261"/>
      <c r="BM223" s="261"/>
      <c r="BN223" s="261"/>
      <c r="BO223" s="261"/>
    </row>
    <row r="224" spans="64:67">
      <c r="BL224" s="261"/>
      <c r="BM224" s="261"/>
      <c r="BN224" s="261"/>
      <c r="BO224" s="261"/>
    </row>
    <row r="225" spans="64:67">
      <c r="BL225" s="261"/>
      <c r="BM225" s="261"/>
      <c r="BN225" s="261"/>
      <c r="BO225" s="261"/>
    </row>
    <row r="226" spans="64:67">
      <c r="BL226" s="261"/>
      <c r="BM226" s="261"/>
      <c r="BN226" s="261"/>
      <c r="BO226" s="261"/>
    </row>
    <row r="227" spans="64:67">
      <c r="BL227" s="261"/>
      <c r="BM227" s="261"/>
      <c r="BN227" s="261"/>
      <c r="BO227" s="261"/>
    </row>
    <row r="228" spans="64:67">
      <c r="BL228" s="261"/>
      <c r="BM228" s="261"/>
      <c r="BN228" s="261"/>
      <c r="BO228" s="261"/>
    </row>
    <row r="229" spans="64:67">
      <c r="BL229" s="261"/>
      <c r="BM229" s="261"/>
      <c r="BN229" s="261"/>
      <c r="BO229" s="261"/>
    </row>
    <row r="230" spans="64:67">
      <c r="BL230" s="261"/>
      <c r="BM230" s="261"/>
      <c r="BN230" s="261"/>
      <c r="BO230" s="261"/>
    </row>
    <row r="231" spans="64:67">
      <c r="BL231" s="261"/>
      <c r="BM231" s="261"/>
      <c r="BN231" s="261"/>
      <c r="BO231" s="261"/>
    </row>
    <row r="232" spans="64:67">
      <c r="BL232" s="261"/>
      <c r="BM232" s="261"/>
      <c r="BN232" s="261"/>
      <c r="BO232" s="261"/>
    </row>
    <row r="233" spans="64:67">
      <c r="BL233" s="261"/>
      <c r="BM233" s="261"/>
      <c r="BN233" s="261"/>
      <c r="BO233" s="261"/>
    </row>
  </sheetData>
  <printOptions horizontalCentered="1" verticalCentered="1"/>
  <pageMargins left="0.7" right="0.7" top="0.75" bottom="0.75" header="0.3" footer="0.3"/>
  <pageSetup scale="5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B2:BZ129"/>
  <sheetViews>
    <sheetView showGridLines="0" view="pageBreakPreview" zoomScale="90" zoomScaleNormal="100" zoomScaleSheetLayoutView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9.3984375" defaultRowHeight="12.75" outlineLevelCol="2"/>
  <cols>
    <col min="1" max="1" width="1.59765625" style="126" customWidth="1"/>
    <col min="2" max="2" width="24.3984375" style="126" customWidth="1"/>
    <col min="3" max="3" width="2.59765625" style="126" customWidth="1"/>
    <col min="4" max="7" width="12.3984375" style="126" hidden="1" customWidth="1" outlineLevel="2"/>
    <col min="8" max="8" width="10" style="126" hidden="1" customWidth="1" outlineLevel="1"/>
    <col min="9" max="12" width="12.3984375" style="126" hidden="1" customWidth="1" outlineLevel="2"/>
    <col min="13" max="13" width="10" style="126" hidden="1" customWidth="1" outlineLevel="1"/>
    <col min="14" max="17" width="12.3984375" style="126" hidden="1" customWidth="1" outlineLevel="2"/>
    <col min="18" max="18" width="10" style="126" hidden="1" customWidth="1" collapsed="1"/>
    <col min="19" max="22" width="12.3984375" style="126" hidden="1" customWidth="1" outlineLevel="1"/>
    <col min="23" max="23" width="10" style="126" hidden="1" customWidth="1" collapsed="1"/>
    <col min="24" max="27" width="12.3984375" style="126" hidden="1" customWidth="1" outlineLevel="1"/>
    <col min="28" max="28" width="10" style="126" hidden="1" customWidth="1" collapsed="1"/>
    <col min="29" max="32" width="12.3984375" style="126" hidden="1" customWidth="1" outlineLevel="1"/>
    <col min="33" max="33" width="10" style="126" hidden="1" customWidth="1" collapsed="1"/>
    <col min="34" max="35" width="12" style="126" hidden="1" customWidth="1" outlineLevel="1"/>
    <col min="36" max="37" width="12.3984375" style="126" hidden="1" customWidth="1" outlineLevel="1"/>
    <col min="38" max="38" width="10" style="126" hidden="1" customWidth="1" collapsed="1"/>
    <col min="39" max="40" width="12" style="126" hidden="1" customWidth="1" outlineLevel="1"/>
    <col min="41" max="42" width="12.3984375" style="126" hidden="1" customWidth="1" outlineLevel="1"/>
    <col min="43" max="43" width="10" style="126" hidden="1" customWidth="1" collapsed="1"/>
    <col min="44" max="45" width="12" style="126" hidden="1" customWidth="1" outlineLevel="1"/>
    <col min="46" max="47" width="12.3984375" style="126" hidden="1" customWidth="1" outlineLevel="1"/>
    <col min="48" max="48" width="10" style="126" hidden="1" customWidth="1" collapsed="1"/>
    <col min="49" max="50" width="12" style="126" hidden="1" customWidth="1" outlineLevel="1"/>
    <col min="51" max="52" width="12.3984375" style="126" hidden="1" customWidth="1" outlineLevel="1"/>
    <col min="53" max="53" width="10" style="126" hidden="1" customWidth="1" collapsed="1"/>
    <col min="54" max="55" width="12" style="126" hidden="1" customWidth="1" outlineLevel="1"/>
    <col min="56" max="57" width="12.3984375" style="126" hidden="1" customWidth="1" outlineLevel="1"/>
    <col min="58" max="58" width="10" style="126" bestFit="1" customWidth="1" collapsed="1"/>
    <col min="59" max="59" width="11.3984375" style="126" hidden="1" customWidth="1" outlineLevel="1"/>
    <col min="60" max="60" width="11" style="126" hidden="1" customWidth="1" outlineLevel="1"/>
    <col min="61" max="61" width="11.3984375" style="126" hidden="1" customWidth="1" outlineLevel="1"/>
    <col min="62" max="62" width="11.1328125" style="126" hidden="1" customWidth="1" outlineLevel="1"/>
    <col min="63" max="63" width="9.3984375" style="126" collapsed="1"/>
    <col min="64" max="64" width="12.59765625" style="126" customWidth="1" outlineLevel="1"/>
    <col min="65" max="65" width="11.1328125" style="126" bestFit="1" customWidth="1" outlineLevel="1"/>
    <col min="66" max="66" width="12.59765625" style="126" customWidth="1" outlineLevel="1"/>
    <col min="67" max="67" width="12.3984375" style="126" customWidth="1" outlineLevel="1"/>
    <col min="68" max="68" width="9.3984375" style="126"/>
    <col min="69" max="69" width="12.59765625" style="126" customWidth="1" outlineLevel="1"/>
    <col min="70" max="70" width="11.1328125" style="126" bestFit="1" customWidth="1" outlineLevel="1"/>
    <col min="71" max="71" width="12.59765625" style="126" customWidth="1" outlineLevel="1"/>
    <col min="72" max="72" width="12.3984375" style="126" customWidth="1" outlineLevel="1"/>
    <col min="73" max="73" width="9.3984375" style="126"/>
    <col min="74" max="74" width="12.59765625" style="126" hidden="1" customWidth="1" outlineLevel="1"/>
    <col min="75" max="75" width="11.1328125" style="126" hidden="1" customWidth="1" outlineLevel="1"/>
    <col min="76" max="76" width="12.59765625" style="126" hidden="1" customWidth="1" outlineLevel="1"/>
    <col min="77" max="77" width="12.3984375" style="126" hidden="1" customWidth="1" outlineLevel="1"/>
    <col min="78" max="78" width="9.3984375" style="126" collapsed="1"/>
    <col min="79" max="16384" width="9.3984375" style="126"/>
  </cols>
  <sheetData>
    <row r="2" spans="2:78" ht="13.15" thickBot="1">
      <c r="B2" s="640"/>
      <c r="C2" s="640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41"/>
      <c r="Y2" s="641"/>
      <c r="Z2" s="641"/>
      <c r="AA2" s="641"/>
      <c r="AB2" s="641"/>
      <c r="AC2" s="641"/>
      <c r="AD2" s="641"/>
      <c r="AE2" s="641"/>
      <c r="AF2" s="641"/>
      <c r="AG2" s="641"/>
      <c r="AH2" s="641"/>
      <c r="AI2" s="641"/>
      <c r="AJ2" s="641"/>
      <c r="AK2" s="641"/>
      <c r="AL2" s="641"/>
      <c r="AM2" s="641"/>
      <c r="AN2" s="641"/>
      <c r="AO2" s="641"/>
      <c r="AP2" s="641"/>
      <c r="AQ2" s="641"/>
      <c r="AR2" s="641"/>
      <c r="AS2" s="641"/>
      <c r="AT2" s="641"/>
      <c r="AU2" s="641"/>
      <c r="AV2" s="641"/>
      <c r="AW2" s="641"/>
      <c r="AX2" s="641"/>
      <c r="AY2" s="641"/>
      <c r="AZ2" s="641"/>
      <c r="BA2" s="641"/>
      <c r="BB2" s="641"/>
      <c r="BC2" s="641"/>
      <c r="BD2" s="641"/>
      <c r="BE2" s="641"/>
      <c r="BF2" s="641"/>
      <c r="BG2" s="641"/>
      <c r="BH2" s="641"/>
      <c r="BI2" s="641"/>
      <c r="BJ2" s="641"/>
      <c r="BK2" s="641"/>
      <c r="BL2" s="641"/>
      <c r="BM2" s="641"/>
      <c r="BN2" s="641"/>
      <c r="BO2" s="641"/>
      <c r="BP2" s="641"/>
      <c r="BQ2" s="641"/>
      <c r="BR2" s="641"/>
      <c r="BS2" s="641"/>
      <c r="BT2" s="641"/>
      <c r="BU2" s="641"/>
      <c r="BV2" s="641"/>
      <c r="BW2" s="641"/>
      <c r="BX2" s="641"/>
      <c r="BY2" s="641"/>
      <c r="BZ2" s="641"/>
    </row>
    <row r="3" spans="2:78" ht="17.649999999999999">
      <c r="B3" s="264" t="s">
        <v>170</v>
      </c>
      <c r="C3" s="127"/>
    </row>
    <row r="4" spans="2:78" s="150" customFormat="1" ht="13.15">
      <c r="B4" s="265" t="s">
        <v>292</v>
      </c>
      <c r="C4" s="265"/>
      <c r="D4" s="266"/>
      <c r="E4" s="267"/>
      <c r="F4" s="268"/>
      <c r="G4" s="268"/>
      <c r="H4" s="269"/>
      <c r="I4" s="266"/>
      <c r="J4" s="267"/>
      <c r="K4" s="268"/>
      <c r="L4" s="268"/>
      <c r="M4" s="269"/>
      <c r="N4" s="266"/>
      <c r="O4" s="267"/>
      <c r="P4" s="268"/>
      <c r="Q4" s="268"/>
      <c r="R4" s="269"/>
      <c r="S4" s="266"/>
      <c r="T4" s="267"/>
      <c r="U4" s="268"/>
      <c r="V4" s="268"/>
      <c r="W4" s="269"/>
      <c r="X4" s="266"/>
      <c r="Y4" s="267"/>
      <c r="Z4" s="268"/>
      <c r="AA4" s="268"/>
      <c r="AB4" s="269"/>
      <c r="BM4" s="714"/>
      <c r="BR4" s="714"/>
      <c r="BW4" s="714"/>
    </row>
    <row r="5" spans="2:78" s="150" customFormat="1" ht="13.15">
      <c r="B5" s="270"/>
      <c r="C5" s="270"/>
      <c r="D5" s="208" t="str">
        <f>+IS!D5</f>
        <v>2012A</v>
      </c>
      <c r="E5" s="209"/>
      <c r="F5" s="210"/>
      <c r="G5" s="210"/>
      <c r="H5" s="211" t="s">
        <v>239</v>
      </c>
      <c r="I5" s="208" t="str">
        <f>+IS!I5</f>
        <v>2013A</v>
      </c>
      <c r="J5" s="209"/>
      <c r="K5" s="210"/>
      <c r="L5" s="210"/>
      <c r="M5" s="211" t="s">
        <v>239</v>
      </c>
      <c r="N5" s="208" t="str">
        <f>+IS!N5</f>
        <v>2014A</v>
      </c>
      <c r="O5" s="209"/>
      <c r="P5" s="210"/>
      <c r="Q5" s="210"/>
      <c r="R5" s="211" t="s">
        <v>239</v>
      </c>
      <c r="S5" s="208" t="str">
        <f>+IS!S5</f>
        <v>2015A</v>
      </c>
      <c r="T5" s="209"/>
      <c r="U5" s="210"/>
      <c r="V5" s="210"/>
      <c r="W5" s="519" t="s">
        <v>239</v>
      </c>
      <c r="X5" s="208" t="str">
        <f>+IS!X5</f>
        <v>2016A</v>
      </c>
      <c r="Y5" s="209"/>
      <c r="Z5" s="210"/>
      <c r="AA5" s="210"/>
      <c r="AB5" s="519" t="s">
        <v>239</v>
      </c>
      <c r="AC5" s="208" t="str">
        <f>+IS!AC5</f>
        <v>2017A</v>
      </c>
      <c r="AD5" s="209"/>
      <c r="AE5" s="210"/>
      <c r="AF5" s="210"/>
      <c r="AG5" s="519" t="s">
        <v>239</v>
      </c>
      <c r="AH5" s="208" t="str">
        <f>+IS!AH5</f>
        <v>2018A</v>
      </c>
      <c r="AI5" s="209"/>
      <c r="AJ5" s="210"/>
      <c r="AK5" s="210"/>
      <c r="AL5" s="519" t="s">
        <v>239</v>
      </c>
      <c r="AM5" s="565" t="str">
        <f>+IS!AM5</f>
        <v>2019A</v>
      </c>
      <c r="AN5" s="209"/>
      <c r="AO5" s="210"/>
      <c r="AP5" s="210"/>
      <c r="AQ5" s="519" t="s">
        <v>239</v>
      </c>
      <c r="AR5" s="208" t="str">
        <f>+IS!AR5</f>
        <v>2020A</v>
      </c>
      <c r="AS5" s="209"/>
      <c r="AT5" s="210"/>
      <c r="AU5" s="210"/>
      <c r="AV5" s="519" t="s">
        <v>239</v>
      </c>
      <c r="AW5" s="208" t="str">
        <f>+IS!AW5</f>
        <v>2021A</v>
      </c>
      <c r="AX5" s="209"/>
      <c r="AY5" s="210"/>
      <c r="AZ5" s="210"/>
      <c r="BA5" s="519" t="s">
        <v>239</v>
      </c>
      <c r="BB5" s="208" t="str">
        <f>+IS!BB5</f>
        <v>2022A</v>
      </c>
      <c r="BC5" s="209"/>
      <c r="BD5" s="210"/>
      <c r="BE5" s="210"/>
      <c r="BF5" s="519" t="s">
        <v>239</v>
      </c>
      <c r="BG5" s="805" t="str">
        <f>+IS!BG5</f>
        <v>2023A</v>
      </c>
      <c r="BH5" s="806"/>
      <c r="BI5" s="806"/>
      <c r="BJ5" s="807"/>
      <c r="BK5" s="519" t="s">
        <v>239</v>
      </c>
      <c r="BL5" s="805" t="s">
        <v>473</v>
      </c>
      <c r="BM5" s="806"/>
      <c r="BN5" s="806"/>
      <c r="BO5" s="807"/>
      <c r="BP5" s="519" t="s">
        <v>239</v>
      </c>
      <c r="BQ5" s="805" t="s">
        <v>439</v>
      </c>
      <c r="BR5" s="806"/>
      <c r="BS5" s="806"/>
      <c r="BT5" s="807"/>
      <c r="BU5" s="519" t="s">
        <v>239</v>
      </c>
      <c r="BV5" s="805" t="s">
        <v>475</v>
      </c>
      <c r="BW5" s="806"/>
      <c r="BX5" s="806"/>
      <c r="BY5" s="807"/>
      <c r="BZ5" s="519" t="s">
        <v>239</v>
      </c>
    </row>
    <row r="6" spans="2:78" s="150" customFormat="1" ht="13.15">
      <c r="B6" s="206"/>
      <c r="C6" s="211"/>
      <c r="D6" s="211" t="str">
        <f>+IS!D6</f>
        <v>1Q-Mar 12A</v>
      </c>
      <c r="E6" s="211" t="str">
        <f>+IS!E6</f>
        <v>2Q-Jun 12A</v>
      </c>
      <c r="F6" s="211" t="str">
        <f>+IS!F6</f>
        <v>3Q-Sep 12A</v>
      </c>
      <c r="G6" s="211" t="str">
        <f>+IS!G6</f>
        <v>4Q-Dec 12A</v>
      </c>
      <c r="H6" s="211" t="str">
        <f>+IS!H6</f>
        <v>2012A</v>
      </c>
      <c r="I6" s="211" t="str">
        <f>+IS!I6</f>
        <v>1Q-Mar 13A</v>
      </c>
      <c r="J6" s="211" t="str">
        <f>+IS!J6</f>
        <v>2Q-Jun 13A</v>
      </c>
      <c r="K6" s="211" t="str">
        <f>+IS!K6</f>
        <v>3Q-Sep 13A</v>
      </c>
      <c r="L6" s="211" t="str">
        <f>+IS!L6</f>
        <v>4Q-Dec 13A</v>
      </c>
      <c r="M6" s="211" t="str">
        <f>+IS!M6</f>
        <v>2013A</v>
      </c>
      <c r="N6" s="211" t="str">
        <f>+IS!N6</f>
        <v>1Q-Mar 14A</v>
      </c>
      <c r="O6" s="211" t="str">
        <f>+IS!O6</f>
        <v>2Q-Jun 14A</v>
      </c>
      <c r="P6" s="211" t="str">
        <f>+IS!P6</f>
        <v>3Q-Sep 14A</v>
      </c>
      <c r="Q6" s="211" t="str">
        <f>+IS!Q6</f>
        <v>4Q-Dec 14A</v>
      </c>
      <c r="R6" s="211" t="str">
        <f>+IS!R6</f>
        <v>2014A</v>
      </c>
      <c r="S6" s="211" t="str">
        <f>+IS!S6</f>
        <v>1Q-Mar 15A</v>
      </c>
      <c r="T6" s="211" t="str">
        <f>+IS!T6</f>
        <v>2Q-Jun 15A</v>
      </c>
      <c r="U6" s="211" t="str">
        <f>+IS!U6</f>
        <v>3Q-Sep 15A</v>
      </c>
      <c r="V6" s="211" t="str">
        <f>+IS!V6</f>
        <v>4Q-Dec 15A</v>
      </c>
      <c r="W6" s="519" t="str">
        <f>+IS!W6</f>
        <v>2015A</v>
      </c>
      <c r="X6" s="211" t="str">
        <f>+IS!X6</f>
        <v>1Q-Mar 16A</v>
      </c>
      <c r="Y6" s="211" t="str">
        <f>+IS!Y6</f>
        <v>2Q-Jun 16A</v>
      </c>
      <c r="Z6" s="211" t="str">
        <f>+IS!Z6</f>
        <v>3Q-Sep 16A</v>
      </c>
      <c r="AA6" s="211" t="str">
        <f>+IS!AA6</f>
        <v>4Q-Dec 16A</v>
      </c>
      <c r="AB6" s="519" t="str">
        <f>+IS!AB6</f>
        <v>2016A</v>
      </c>
      <c r="AC6" s="211" t="str">
        <f>+IS!AC6</f>
        <v>1Q-Mar 17A</v>
      </c>
      <c r="AD6" s="211" t="str">
        <f>+IS!AD6</f>
        <v>2Q-Jun 17A</v>
      </c>
      <c r="AE6" s="211" t="str">
        <f>+IS!AE6</f>
        <v>3Q-Sep 17A</v>
      </c>
      <c r="AF6" s="211" t="str">
        <f>+IS!AF6</f>
        <v>4Q-Dec 17A</v>
      </c>
      <c r="AG6" s="519" t="str">
        <f>+IS!AG6</f>
        <v>2017A</v>
      </c>
      <c r="AH6" s="211" t="str">
        <f>+IS!AH6</f>
        <v>1Q-Mar 18A</v>
      </c>
      <c r="AI6" s="211" t="str">
        <f>+IS!AI6</f>
        <v>2Q-Jun 18A</v>
      </c>
      <c r="AJ6" s="211" t="str">
        <f>+IS!AJ6</f>
        <v>3Q-Sep 18A</v>
      </c>
      <c r="AK6" s="211" t="str">
        <f>+IS!AK6</f>
        <v>4Q-Dec 18A</v>
      </c>
      <c r="AL6" s="519" t="str">
        <f>+IS!AL6</f>
        <v>2018A</v>
      </c>
      <c r="AM6" s="467" t="str">
        <f>+IS!AM6</f>
        <v>1Q-Mar 19A</v>
      </c>
      <c r="AN6" s="467" t="str">
        <f>+IS!AN6</f>
        <v>2Q-Jun 19A</v>
      </c>
      <c r="AO6" s="467" t="str">
        <f>+IS!AO6</f>
        <v>3Q-Sep 19A</v>
      </c>
      <c r="AP6" s="211" t="str">
        <f>+IS!AP6</f>
        <v>4Q-Dec 19A</v>
      </c>
      <c r="AQ6" s="519" t="str">
        <f>+IS!AQ6</f>
        <v>2019A</v>
      </c>
      <c r="AR6" s="211" t="str">
        <f>+IS!AR6</f>
        <v>1Q-Mar 20A</v>
      </c>
      <c r="AS6" s="211" t="str">
        <f>+IS!AS6</f>
        <v>2Q-Jun 20A</v>
      </c>
      <c r="AT6" s="211" t="str">
        <f>+IS!AT6</f>
        <v>3Q-Sep 20A</v>
      </c>
      <c r="AU6" s="211" t="str">
        <f>+IS!AU6</f>
        <v>4Q-Dec 20A</v>
      </c>
      <c r="AV6" s="519" t="str">
        <f>+IS!AV6</f>
        <v>2020A</v>
      </c>
      <c r="AW6" s="211" t="str">
        <f>+IS!AW6</f>
        <v>1Q-Mar 21A</v>
      </c>
      <c r="AX6" s="211" t="str">
        <f>+IS!AX6</f>
        <v>2Q-Jun 21A</v>
      </c>
      <c r="AY6" s="211" t="str">
        <f>+IS!AY6</f>
        <v>3Q-Sep 21A</v>
      </c>
      <c r="AZ6" s="211" t="str">
        <f>+IS!AZ6</f>
        <v>4Q-Dec 21A</v>
      </c>
      <c r="BA6" s="519" t="str">
        <f>+IS!BA6</f>
        <v>2021A</v>
      </c>
      <c r="BB6" s="211" t="str">
        <f>+IS!BB6</f>
        <v>1Q-Mar 22A</v>
      </c>
      <c r="BC6" s="211" t="str">
        <f>+IS!BC6</f>
        <v>2Q-Jun 22A</v>
      </c>
      <c r="BD6" s="211" t="str">
        <f>+IS!BD6</f>
        <v>3Q-Sep 22A</v>
      </c>
      <c r="BE6" s="211" t="str">
        <f>+IS!BE6</f>
        <v>4Q-Dec 22A</v>
      </c>
      <c r="BF6" s="519" t="str">
        <f>+IS!BF6</f>
        <v>2022A</v>
      </c>
      <c r="BG6" s="211" t="str">
        <f>+IS!BG6</f>
        <v>1Q-Mar 23A</v>
      </c>
      <c r="BH6" s="211" t="str">
        <f>+IS!BH6</f>
        <v>2Q-Jun 23A</v>
      </c>
      <c r="BI6" s="211" t="str">
        <f>+IS!BI6</f>
        <v>3Q-Sep 23A</v>
      </c>
      <c r="BJ6" s="211" t="str">
        <f>+IS!BJ6</f>
        <v>4Q-Dec 23A</v>
      </c>
      <c r="BK6" s="519" t="str">
        <f>+IS!BK6</f>
        <v>2023A</v>
      </c>
      <c r="BL6" s="211" t="str">
        <f>+IS!BL6</f>
        <v>1Q-Mar 24A</v>
      </c>
      <c r="BM6" s="211" t="str">
        <f>+IS!BM6</f>
        <v>2Q-Jun 24A</v>
      </c>
      <c r="BN6" s="211" t="str">
        <f>+IS!BN6</f>
        <v>3Q-Sep 24A</v>
      </c>
      <c r="BO6" s="211" t="str">
        <f>+IS!BO6</f>
        <v>4Q-Dec 24A</v>
      </c>
      <c r="BP6" s="519" t="str">
        <f>+IS!BP6</f>
        <v>2024A</v>
      </c>
      <c r="BQ6" s="211" t="str">
        <f>+IS!BQ6</f>
        <v>1Q-Mar 25A</v>
      </c>
      <c r="BR6" s="211" t="str">
        <f>+IS!BR6</f>
        <v>2Q-Jun 25A</v>
      </c>
      <c r="BS6" s="211" t="str">
        <f>+IS!BS6</f>
        <v>3Q-Sep 25A</v>
      </c>
      <c r="BT6" s="211" t="str">
        <f>+IS!BT6</f>
        <v>4Q-Dec 25A</v>
      </c>
      <c r="BU6" s="519" t="str">
        <f>+IS!BU6</f>
        <v>2025A</v>
      </c>
      <c r="BV6" s="211" t="str">
        <f>+IS!BV6</f>
        <v>1Q-Mar 26E</v>
      </c>
      <c r="BW6" s="211" t="str">
        <f>+IS!BW6</f>
        <v>2Q-Jun 26E</v>
      </c>
      <c r="BX6" s="211" t="str">
        <f>+IS!BX6</f>
        <v>3Q-Sep 26E</v>
      </c>
      <c r="BY6" s="211" t="str">
        <f>+IS!BY6</f>
        <v>4Q-Dec 26E</v>
      </c>
      <c r="BZ6" s="519" t="str">
        <f>+IS!BZ6</f>
        <v>2026E</v>
      </c>
    </row>
    <row r="7" spans="2:78" s="150" customFormat="1">
      <c r="W7" s="576"/>
      <c r="AB7" s="576"/>
      <c r="AG7" s="576"/>
      <c r="AL7" s="576"/>
      <c r="AM7" s="468"/>
      <c r="AN7" s="468"/>
      <c r="AO7" s="468"/>
      <c r="AQ7" s="576"/>
      <c r="AV7" s="576"/>
      <c r="BA7" s="576"/>
      <c r="BF7" s="576"/>
      <c r="BK7" s="576"/>
      <c r="BP7" s="576"/>
      <c r="BU7" s="576"/>
      <c r="BZ7" s="576"/>
    </row>
    <row r="8" spans="2:78" s="150" customFormat="1" ht="13.15">
      <c r="B8" s="150" t="s">
        <v>186</v>
      </c>
      <c r="C8" s="151"/>
      <c r="D8" s="153">
        <v>14212</v>
      </c>
      <c r="E8" s="153">
        <v>14809</v>
      </c>
      <c r="F8" s="153">
        <v>16063</v>
      </c>
      <c r="G8" s="153">
        <f>H8-SUM(D8:F8)</f>
        <v>17532</v>
      </c>
      <c r="H8" s="153">
        <v>62616</v>
      </c>
      <c r="I8" s="153">
        <v>17373</v>
      </c>
      <c r="J8" s="153">
        <v>18434</v>
      </c>
      <c r="K8" s="153">
        <v>19352</v>
      </c>
      <c r="L8" s="153">
        <f>M8-SUM(I8:K8)</f>
        <v>20326</v>
      </c>
      <c r="M8" s="153">
        <v>75485</v>
      </c>
      <c r="N8" s="153">
        <v>21327</v>
      </c>
      <c r="O8" s="153">
        <v>22620</v>
      </c>
      <c r="P8" s="153">
        <v>24038</v>
      </c>
      <c r="Q8" s="153">
        <f>R8-SUM(N8:P8)</f>
        <v>25440</v>
      </c>
      <c r="R8" s="153">
        <v>93425</v>
      </c>
      <c r="S8" s="153">
        <v>26341</v>
      </c>
      <c r="T8" s="153">
        <v>28130</v>
      </c>
      <c r="U8" s="153">
        <v>29993</v>
      </c>
      <c r="V8" s="153">
        <f>W8-SUM(S8:U8)</f>
        <v>30920</v>
      </c>
      <c r="W8" s="577">
        <v>115384</v>
      </c>
      <c r="X8" s="153">
        <v>32689</v>
      </c>
      <c r="Y8" s="153">
        <v>34190</v>
      </c>
      <c r="Z8" s="153">
        <v>35965</v>
      </c>
      <c r="AA8" s="153">
        <f>AB8-SUM(X8:Z8)</f>
        <v>36899</v>
      </c>
      <c r="AB8" s="577">
        <v>139743</v>
      </c>
      <c r="AC8" s="153">
        <v>37461</v>
      </c>
      <c r="AD8" s="153">
        <v>39038</v>
      </c>
      <c r="AE8" s="153">
        <v>42287</v>
      </c>
      <c r="AF8" s="153">
        <f>AG8-SUM(AC8:AE8)</f>
        <v>43895</v>
      </c>
      <c r="AG8" s="577">
        <v>162681</v>
      </c>
      <c r="AH8" s="625">
        <v>44314</v>
      </c>
      <c r="AI8" s="625">
        <v>45799</v>
      </c>
      <c r="AJ8" s="625">
        <v>47336</v>
      </c>
      <c r="AK8" s="625">
        <f>AL8-SUM(AH8:AJ8)</f>
        <v>48438</v>
      </c>
      <c r="AL8" s="577">
        <v>185887</v>
      </c>
      <c r="AM8" s="665">
        <v>48621</v>
      </c>
      <c r="AN8" s="665">
        <v>50704</v>
      </c>
      <c r="AO8" s="665">
        <v>53132</v>
      </c>
      <c r="AP8" s="666">
        <f>206555-AO8-AN8-AM8</f>
        <v>54098</v>
      </c>
      <c r="AQ8" s="667">
        <f>SUM(AM8:AP8)</f>
        <v>206555</v>
      </c>
      <c r="AR8" s="665">
        <f>54963</f>
        <v>54963</v>
      </c>
      <c r="AS8" s="469">
        <f>57015</f>
        <v>57015</v>
      </c>
      <c r="AT8" s="469">
        <v>59152</v>
      </c>
      <c r="AU8" s="153">
        <f>AV8-SUM(AR8:AT8)</f>
        <v>59314</v>
      </c>
      <c r="AV8" s="577">
        <f>230444</f>
        <v>230444</v>
      </c>
      <c r="AW8" s="665">
        <f>60132</f>
        <v>60132</v>
      </c>
      <c r="AX8" s="665">
        <f>60991</f>
        <v>60991</v>
      </c>
      <c r="AY8" s="153">
        <f>63599</f>
        <v>63599</v>
      </c>
      <c r="AZ8" s="153">
        <f>BA8-SUM(AW8:AY8)</f>
        <v>66078</v>
      </c>
      <c r="BA8" s="577">
        <f>250800</f>
        <v>250800</v>
      </c>
      <c r="BB8" s="153">
        <f>67500</f>
        <v>67500</v>
      </c>
      <c r="BC8" s="153">
        <f>71608</f>
        <v>71608</v>
      </c>
      <c r="BD8" s="153">
        <f>214310-BC8-BB8</f>
        <v>75202</v>
      </c>
      <c r="BE8" s="153">
        <f>BF8-SUM(BB8:BD8)</f>
        <v>79523.799999999988</v>
      </c>
      <c r="BF8" s="577">
        <f>BF26*BF34</f>
        <v>293833.8</v>
      </c>
      <c r="BG8" s="153">
        <v>78016</v>
      </c>
      <c r="BH8" s="153">
        <f>82955</f>
        <v>82955</v>
      </c>
      <c r="BI8" s="153">
        <f>85377</f>
        <v>85377</v>
      </c>
      <c r="BJ8" s="153">
        <f>BK8-SUM(BG8:BI8)</f>
        <v>85967</v>
      </c>
      <c r="BK8" s="577">
        <v>332315</v>
      </c>
      <c r="BL8" s="625">
        <v>86436</v>
      </c>
      <c r="BM8" s="625">
        <f>86940</f>
        <v>86940</v>
      </c>
      <c r="BN8" s="625">
        <f>89238</f>
        <v>89238</v>
      </c>
      <c r="BO8" s="625">
        <f>BP8-SUM(BL8:BN8)</f>
        <v>89777.18</v>
      </c>
      <c r="BP8" s="577">
        <f>BP26*BP34</f>
        <v>352391.18</v>
      </c>
      <c r="BQ8" s="625">
        <f>91227</f>
        <v>91227</v>
      </c>
      <c r="BR8" s="625">
        <f>92793</f>
        <v>92793</v>
      </c>
      <c r="BS8" s="625">
        <f>95629</f>
        <v>95629</v>
      </c>
      <c r="BT8" s="153"/>
      <c r="BU8" s="577"/>
      <c r="BV8" s="153"/>
      <c r="BW8" s="153"/>
      <c r="BX8" s="153"/>
      <c r="BY8" s="153"/>
      <c r="BZ8" s="577"/>
    </row>
    <row r="9" spans="2:78" s="150" customFormat="1" ht="13.15">
      <c r="B9" s="150" t="s">
        <v>436</v>
      </c>
      <c r="C9" s="151"/>
      <c r="D9" s="153">
        <v>6979</v>
      </c>
      <c r="E9" s="153">
        <v>7381</v>
      </c>
      <c r="F9" s="153">
        <v>7319</v>
      </c>
      <c r="G9" s="153">
        <f>H9-SUM(D9:F9)</f>
        <v>7125</v>
      </c>
      <c r="H9" s="153">
        <v>28804</v>
      </c>
      <c r="I9" s="153">
        <v>7510</v>
      </c>
      <c r="J9" s="153">
        <v>7857</v>
      </c>
      <c r="K9" s="153">
        <v>8397</v>
      </c>
      <c r="L9" s="153">
        <f>M9-SUM(I9:K9)</f>
        <v>8713</v>
      </c>
      <c r="M9" s="153">
        <v>32477</v>
      </c>
      <c r="N9" s="153">
        <v>9029</v>
      </c>
      <c r="O9" s="153">
        <v>9682</v>
      </c>
      <c r="P9" s="153">
        <v>10310</v>
      </c>
      <c r="Q9" s="153">
        <f>R9-SUM(N9:P9)</f>
        <v>11133</v>
      </c>
      <c r="R9" s="153">
        <v>40154</v>
      </c>
      <c r="S9" s="153">
        <v>11152</v>
      </c>
      <c r="T9" s="153">
        <v>11747</v>
      </c>
      <c r="U9" s="153">
        <v>12476</v>
      </c>
      <c r="V9" s="153">
        <f>W9-SUM(S9:U9)</f>
        <v>13525</v>
      </c>
      <c r="W9" s="577">
        <v>48900</v>
      </c>
      <c r="X9" s="153">
        <v>13559</v>
      </c>
      <c r="Y9" s="153">
        <v>14276</v>
      </c>
      <c r="Z9" s="153">
        <v>15022</v>
      </c>
      <c r="AA9" s="153">
        <f>AB9-SUM(X9:Z9)</f>
        <v>15325</v>
      </c>
      <c r="AB9" s="577">
        <v>58182</v>
      </c>
      <c r="AC9" s="153">
        <v>15660</v>
      </c>
      <c r="AD9" s="153">
        <v>16264</v>
      </c>
      <c r="AE9" s="153">
        <v>17203</v>
      </c>
      <c r="AF9" s="153">
        <f>AG9-SUM(AC9:AE9)</f>
        <v>19020</v>
      </c>
      <c r="AG9" s="577">
        <v>68147</v>
      </c>
      <c r="AH9" s="625">
        <v>20564</v>
      </c>
      <c r="AI9" s="625">
        <v>22354</v>
      </c>
      <c r="AJ9" s="625">
        <v>24322</v>
      </c>
      <c r="AK9" s="625">
        <f>AL9-SUM(AH9:AJ9)</f>
        <v>25762</v>
      </c>
      <c r="AL9" s="577">
        <v>93002</v>
      </c>
      <c r="AM9" s="666">
        <v>26722</v>
      </c>
      <c r="AN9" s="666">
        <v>28225</v>
      </c>
      <c r="AO9" s="665">
        <v>29539</v>
      </c>
      <c r="AP9" s="666">
        <f>115052-AO9-AN9-AM9</f>
        <v>30566</v>
      </c>
      <c r="AQ9" s="667">
        <f>SUM(AM9:AP9)</f>
        <v>115052</v>
      </c>
      <c r="AR9" s="666">
        <f>31300</f>
        <v>31300</v>
      </c>
      <c r="AS9" s="469">
        <f>31815</f>
        <v>31815</v>
      </c>
      <c r="AT9" s="469">
        <v>33917</v>
      </c>
      <c r="AU9" s="153">
        <f>AV9-SUM(AR9:AT9)</f>
        <v>35487</v>
      </c>
      <c r="AV9" s="577">
        <f>132519</f>
        <v>132519</v>
      </c>
      <c r="AW9" s="666">
        <f>36624</f>
        <v>36624</v>
      </c>
      <c r="AX9" s="666">
        <f>38711</f>
        <v>38711</v>
      </c>
      <c r="AY9" s="153">
        <f>41335</f>
        <v>41335</v>
      </c>
      <c r="AZ9" s="153">
        <f>BA9-SUM(AW9:AY9)</f>
        <v>43702</v>
      </c>
      <c r="BA9" s="577">
        <f>BA11-BA8</f>
        <v>160372</v>
      </c>
      <c r="BB9" s="153">
        <f>45920</f>
        <v>45920</v>
      </c>
      <c r="BC9" s="153">
        <f>48285</f>
        <v>48285</v>
      </c>
      <c r="BD9" s="153">
        <f>BD11-BD8</f>
        <v>50359</v>
      </c>
      <c r="BE9" s="153">
        <f>BF9-SUM(BB9:BD9)</f>
        <v>51325.200000000012</v>
      </c>
      <c r="BF9" s="577">
        <f>BF27*BF34</f>
        <v>195889.2</v>
      </c>
      <c r="BG9" s="153">
        <v>52667</v>
      </c>
      <c r="BH9" s="153">
        <f>BH34-BH8</f>
        <v>54254</v>
      </c>
      <c r="BI9" s="153">
        <f>BI34-BI8</f>
        <v>56619</v>
      </c>
      <c r="BJ9" s="153">
        <f>BK9-SUM(BG9:BI9)</f>
        <v>58603</v>
      </c>
      <c r="BK9" s="577">
        <v>222143</v>
      </c>
      <c r="BL9" s="625">
        <v>59369</v>
      </c>
      <c r="BM9" s="625">
        <f>61768</f>
        <v>61768</v>
      </c>
      <c r="BN9" s="625">
        <f>BN34-BN8</f>
        <v>64629</v>
      </c>
      <c r="BO9" s="625">
        <f>BP9-SUM(BL9:BN9)</f>
        <v>69413.819999999978</v>
      </c>
      <c r="BP9" s="577">
        <f>BP27*BP34</f>
        <v>255179.81999999998</v>
      </c>
      <c r="BQ9" s="625">
        <f>68672</f>
        <v>68672</v>
      </c>
      <c r="BR9" s="625">
        <f>71269</f>
        <v>71269</v>
      </c>
      <c r="BS9" s="625">
        <f>74253</f>
        <v>74253</v>
      </c>
      <c r="BT9" s="153"/>
      <c r="BU9" s="577"/>
      <c r="BV9" s="153"/>
      <c r="BW9" s="153"/>
      <c r="BX9" s="153"/>
      <c r="BY9" s="153"/>
      <c r="BZ9" s="577"/>
    </row>
    <row r="10" spans="2:78" s="150" customFormat="1" ht="8.25" customHeight="1">
      <c r="B10" s="155"/>
      <c r="C10" s="156"/>
      <c r="D10" s="271" t="s">
        <v>131</v>
      </c>
      <c r="E10" s="271" t="s">
        <v>131</v>
      </c>
      <c r="F10" s="271" t="s">
        <v>131</v>
      </c>
      <c r="G10" s="271" t="s">
        <v>131</v>
      </c>
      <c r="H10" s="271" t="s">
        <v>131</v>
      </c>
      <c r="I10" s="271" t="s">
        <v>131</v>
      </c>
      <c r="J10" s="271" t="s">
        <v>131</v>
      </c>
      <c r="K10" s="271" t="s">
        <v>131</v>
      </c>
      <c r="L10" s="271" t="s">
        <v>131</v>
      </c>
      <c r="M10" s="271" t="s">
        <v>131</v>
      </c>
      <c r="N10" s="271" t="s">
        <v>131</v>
      </c>
      <c r="O10" s="271" t="s">
        <v>131</v>
      </c>
      <c r="P10" s="271" t="s">
        <v>131</v>
      </c>
      <c r="Q10" s="271" t="s">
        <v>131</v>
      </c>
      <c r="R10" s="271" t="s">
        <v>131</v>
      </c>
      <c r="S10" s="271" t="s">
        <v>131</v>
      </c>
      <c r="T10" s="271" t="s">
        <v>131</v>
      </c>
      <c r="U10" s="271" t="s">
        <v>131</v>
      </c>
      <c r="V10" s="271" t="s">
        <v>131</v>
      </c>
      <c r="W10" s="547" t="s">
        <v>131</v>
      </c>
      <c r="X10" s="271" t="s">
        <v>131</v>
      </c>
      <c r="Y10" s="271" t="s">
        <v>131</v>
      </c>
      <c r="Z10" s="271" t="s">
        <v>131</v>
      </c>
      <c r="AA10" s="271" t="s">
        <v>131</v>
      </c>
      <c r="AB10" s="547" t="s">
        <v>131</v>
      </c>
      <c r="AC10" s="271" t="s">
        <v>131</v>
      </c>
      <c r="AD10" s="271" t="s">
        <v>131</v>
      </c>
      <c r="AE10" s="271" t="s">
        <v>131</v>
      </c>
      <c r="AF10" s="271" t="s">
        <v>131</v>
      </c>
      <c r="AG10" s="547" t="s">
        <v>131</v>
      </c>
      <c r="AH10" s="271" t="s">
        <v>131</v>
      </c>
      <c r="AI10" s="271" t="s">
        <v>131</v>
      </c>
      <c r="AJ10" s="271" t="s">
        <v>131</v>
      </c>
      <c r="AK10" s="271" t="s">
        <v>131</v>
      </c>
      <c r="AL10" s="547" t="s">
        <v>131</v>
      </c>
      <c r="AM10" s="271" t="s">
        <v>131</v>
      </c>
      <c r="AN10" s="271" t="s">
        <v>131</v>
      </c>
      <c r="AO10" s="271" t="s">
        <v>131</v>
      </c>
      <c r="AP10" s="271" t="s">
        <v>131</v>
      </c>
      <c r="AQ10" s="547" t="s">
        <v>131</v>
      </c>
      <c r="AR10" s="271" t="s">
        <v>131</v>
      </c>
      <c r="AS10" s="271" t="s">
        <v>131</v>
      </c>
      <c r="AT10" s="271" t="s">
        <v>131</v>
      </c>
      <c r="AU10" s="271" t="s">
        <v>131</v>
      </c>
      <c r="AV10" s="547" t="s">
        <v>131</v>
      </c>
      <c r="AW10" s="271" t="s">
        <v>131</v>
      </c>
      <c r="AX10" s="271" t="s">
        <v>131</v>
      </c>
      <c r="AY10" s="271" t="s">
        <v>131</v>
      </c>
      <c r="AZ10" s="271" t="s">
        <v>131</v>
      </c>
      <c r="BA10" s="547" t="s">
        <v>131</v>
      </c>
      <c r="BB10" s="271" t="s">
        <v>131</v>
      </c>
      <c r="BC10" s="271" t="s">
        <v>131</v>
      </c>
      <c r="BD10" s="271" t="s">
        <v>131</v>
      </c>
      <c r="BE10" s="271" t="s">
        <v>131</v>
      </c>
      <c r="BF10" s="547" t="s">
        <v>131</v>
      </c>
      <c r="BG10" s="271" t="s">
        <v>131</v>
      </c>
      <c r="BH10" s="271" t="s">
        <v>131</v>
      </c>
      <c r="BI10" s="271" t="s">
        <v>131</v>
      </c>
      <c r="BJ10" s="271" t="s">
        <v>131</v>
      </c>
      <c r="BK10" s="547" t="s">
        <v>131</v>
      </c>
      <c r="BL10" s="271" t="s">
        <v>131</v>
      </c>
      <c r="BM10" s="271" t="s">
        <v>131</v>
      </c>
      <c r="BN10" s="271" t="s">
        <v>131</v>
      </c>
      <c r="BO10" s="271" t="s">
        <v>131</v>
      </c>
      <c r="BP10" s="547" t="s">
        <v>131</v>
      </c>
      <c r="BQ10" s="271" t="s">
        <v>131</v>
      </c>
      <c r="BR10" s="271" t="s">
        <v>131</v>
      </c>
      <c r="BS10" s="271" t="s">
        <v>131</v>
      </c>
      <c r="BT10" s="271" t="s">
        <v>131</v>
      </c>
      <c r="BU10" s="547" t="s">
        <v>131</v>
      </c>
      <c r="BV10" s="271" t="s">
        <v>131</v>
      </c>
      <c r="BW10" s="271" t="s">
        <v>131</v>
      </c>
      <c r="BX10" s="271" t="s">
        <v>131</v>
      </c>
      <c r="BY10" s="271" t="s">
        <v>131</v>
      </c>
      <c r="BZ10" s="547" t="s">
        <v>131</v>
      </c>
    </row>
    <row r="11" spans="2:78" s="150" customFormat="1" ht="13.15">
      <c r="B11" s="151" t="s">
        <v>130</v>
      </c>
      <c r="C11" s="151"/>
      <c r="D11" s="751">
        <f t="shared" ref="D11:H11" si="0">SUM(D8:D9)</f>
        <v>21191</v>
      </c>
      <c r="E11" s="751">
        <f t="shared" si="0"/>
        <v>22190</v>
      </c>
      <c r="F11" s="751">
        <f t="shared" si="0"/>
        <v>23382</v>
      </c>
      <c r="G11" s="751">
        <f t="shared" si="0"/>
        <v>24657</v>
      </c>
      <c r="H11" s="751">
        <f t="shared" si="0"/>
        <v>91420</v>
      </c>
      <c r="I11" s="751">
        <f t="shared" ref="I11:M11" si="1">SUM(I8:I9)</f>
        <v>24883</v>
      </c>
      <c r="J11" s="751">
        <f t="shared" si="1"/>
        <v>26291</v>
      </c>
      <c r="K11" s="751">
        <f t="shared" si="1"/>
        <v>27749</v>
      </c>
      <c r="L11" s="751">
        <f t="shared" si="1"/>
        <v>29039</v>
      </c>
      <c r="M11" s="751">
        <f t="shared" si="1"/>
        <v>107962</v>
      </c>
      <c r="N11" s="751">
        <f t="shared" ref="N11:AL11" si="2">SUM(N8:N9)</f>
        <v>30356</v>
      </c>
      <c r="O11" s="751">
        <f t="shared" si="2"/>
        <v>32302</v>
      </c>
      <c r="P11" s="751">
        <f t="shared" si="2"/>
        <v>34348</v>
      </c>
      <c r="Q11" s="751">
        <f t="shared" si="2"/>
        <v>36573</v>
      </c>
      <c r="R11" s="751">
        <f t="shared" si="2"/>
        <v>133579</v>
      </c>
      <c r="S11" s="751">
        <f t="shared" si="2"/>
        <v>37493</v>
      </c>
      <c r="T11" s="751">
        <f t="shared" si="2"/>
        <v>39877</v>
      </c>
      <c r="U11" s="751">
        <f t="shared" si="2"/>
        <v>42469</v>
      </c>
      <c r="V11" s="751">
        <f t="shared" si="2"/>
        <v>44445</v>
      </c>
      <c r="W11" s="752">
        <f t="shared" si="2"/>
        <v>164284</v>
      </c>
      <c r="X11" s="751">
        <f t="shared" si="2"/>
        <v>46248</v>
      </c>
      <c r="Y11" s="751">
        <f t="shared" si="2"/>
        <v>48466</v>
      </c>
      <c r="Z11" s="751">
        <f t="shared" si="2"/>
        <v>50987</v>
      </c>
      <c r="AA11" s="751">
        <f t="shared" si="2"/>
        <v>52224</v>
      </c>
      <c r="AB11" s="752">
        <f t="shared" si="2"/>
        <v>197925</v>
      </c>
      <c r="AC11" s="751">
        <f t="shared" si="2"/>
        <v>53121</v>
      </c>
      <c r="AD11" s="751">
        <f t="shared" si="2"/>
        <v>55302</v>
      </c>
      <c r="AE11" s="751">
        <f t="shared" si="2"/>
        <v>59490</v>
      </c>
      <c r="AF11" s="751">
        <f t="shared" si="2"/>
        <v>62915</v>
      </c>
      <c r="AG11" s="752">
        <f t="shared" si="2"/>
        <v>230828</v>
      </c>
      <c r="AH11" s="751">
        <f t="shared" si="2"/>
        <v>64878</v>
      </c>
      <c r="AI11" s="751">
        <f t="shared" si="2"/>
        <v>68153</v>
      </c>
      <c r="AJ11" s="751">
        <f t="shared" si="2"/>
        <v>71658</v>
      </c>
      <c r="AK11" s="751">
        <f t="shared" si="2"/>
        <v>74200</v>
      </c>
      <c r="AL11" s="752">
        <f t="shared" si="2"/>
        <v>278889</v>
      </c>
      <c r="AM11" s="751">
        <f t="shared" ref="AM11:AQ11" si="3">SUM(AM8:AM9)</f>
        <v>75343</v>
      </c>
      <c r="AN11" s="751">
        <f t="shared" si="3"/>
        <v>78929</v>
      </c>
      <c r="AO11" s="751">
        <f t="shared" si="3"/>
        <v>82671</v>
      </c>
      <c r="AP11" s="751">
        <f t="shared" si="3"/>
        <v>84664</v>
      </c>
      <c r="AQ11" s="752">
        <f t="shared" si="3"/>
        <v>321607</v>
      </c>
      <c r="AR11" s="751">
        <f t="shared" ref="AR11:AV11" si="4">SUM(AR8:AR9)</f>
        <v>86263</v>
      </c>
      <c r="AS11" s="751">
        <f t="shared" si="4"/>
        <v>88830</v>
      </c>
      <c r="AT11" s="751">
        <f t="shared" si="4"/>
        <v>93069</v>
      </c>
      <c r="AU11" s="751">
        <f t="shared" si="4"/>
        <v>94801</v>
      </c>
      <c r="AV11" s="752">
        <f t="shared" si="4"/>
        <v>362963</v>
      </c>
      <c r="AW11" s="751">
        <f t="shared" ref="AW11" si="5">SUM(AW8:AW9)</f>
        <v>96756</v>
      </c>
      <c r="AX11" s="751">
        <f t="shared" ref="AX11:AZ11" si="6">SUM(AX8:AX9)</f>
        <v>99702</v>
      </c>
      <c r="AY11" s="751">
        <f t="shared" si="6"/>
        <v>104934</v>
      </c>
      <c r="AZ11" s="751">
        <f t="shared" si="6"/>
        <v>109780</v>
      </c>
      <c r="BA11" s="752">
        <f>IS!BA9</f>
        <v>411172</v>
      </c>
      <c r="BB11" s="751">
        <f>IS!BB9</f>
        <v>113420</v>
      </c>
      <c r="BC11" s="751">
        <f>IS!BC9</f>
        <v>119893</v>
      </c>
      <c r="BD11" s="751">
        <f>IS!BD9</f>
        <v>125561</v>
      </c>
      <c r="BE11" s="751">
        <f t="shared" ref="BE11:BF11" si="7">SUM(BE8:BE9)</f>
        <v>130849</v>
      </c>
      <c r="BF11" s="752">
        <f t="shared" si="7"/>
        <v>489723</v>
      </c>
      <c r="BG11" s="751">
        <f>IS!BG9</f>
        <v>130683</v>
      </c>
      <c r="BH11" s="751">
        <f t="shared" ref="BH11:BP11" si="8">SUM(BH8:BH9)</f>
        <v>137209</v>
      </c>
      <c r="BI11" s="751">
        <f t="shared" si="8"/>
        <v>141996</v>
      </c>
      <c r="BJ11" s="751">
        <f t="shared" si="8"/>
        <v>144570</v>
      </c>
      <c r="BK11" s="752">
        <f t="shared" si="8"/>
        <v>554458</v>
      </c>
      <c r="BL11" s="751">
        <f t="shared" si="8"/>
        <v>145805</v>
      </c>
      <c r="BM11" s="751">
        <f>SUM(BM9,BM8)</f>
        <v>148708</v>
      </c>
      <c r="BN11" s="751">
        <f t="shared" si="8"/>
        <v>153867</v>
      </c>
      <c r="BO11" s="751">
        <f t="shared" si="8"/>
        <v>159190.99999999997</v>
      </c>
      <c r="BP11" s="752">
        <f t="shared" si="8"/>
        <v>607571</v>
      </c>
      <c r="BQ11" s="751">
        <f t="shared" ref="BQ11" si="9">SUM(BQ8:BQ9)</f>
        <v>159899</v>
      </c>
      <c r="BR11" s="751">
        <f>SUM(BR9,BR8)</f>
        <v>164062</v>
      </c>
      <c r="BS11" s="751">
        <f>SUM(BS9,BS8)</f>
        <v>169882</v>
      </c>
      <c r="BT11" s="751">
        <f t="shared" ref="BT11:BV11" si="10">SUM(BT8:BT9)</f>
        <v>0</v>
      </c>
      <c r="BU11" s="752">
        <f t="shared" si="10"/>
        <v>0</v>
      </c>
      <c r="BV11" s="751">
        <f t="shared" si="10"/>
        <v>0</v>
      </c>
      <c r="BW11" s="751">
        <f>SUM(BW9,BW8)</f>
        <v>0</v>
      </c>
      <c r="BX11" s="751">
        <f t="shared" ref="BX11:BZ11" si="11">SUM(BX8:BX9)</f>
        <v>0</v>
      </c>
      <c r="BY11" s="751">
        <f t="shared" si="11"/>
        <v>0</v>
      </c>
      <c r="BZ11" s="752">
        <f t="shared" si="11"/>
        <v>0</v>
      </c>
    </row>
    <row r="12" spans="2:78" s="150" customFormat="1">
      <c r="C12" s="159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580"/>
      <c r="X12" s="158"/>
      <c r="Y12" s="158"/>
      <c r="Z12" s="158"/>
      <c r="AA12" s="158"/>
      <c r="AB12" s="580"/>
      <c r="AC12" s="158"/>
      <c r="AD12" s="158"/>
      <c r="AE12" s="158"/>
      <c r="AF12" s="158"/>
      <c r="AG12" s="580"/>
      <c r="AH12" s="158"/>
      <c r="AI12" s="158"/>
      <c r="AJ12" s="158"/>
      <c r="AK12" s="158"/>
      <c r="AL12" s="580"/>
      <c r="AM12" s="158"/>
      <c r="AN12" s="158"/>
      <c r="AO12" s="158"/>
      <c r="AP12" s="158"/>
      <c r="AQ12" s="580"/>
      <c r="AR12" s="158"/>
      <c r="AS12" s="158"/>
      <c r="AT12" s="158"/>
      <c r="AU12" s="158"/>
      <c r="AV12" s="580"/>
      <c r="AW12" s="158"/>
      <c r="AX12" s="158"/>
      <c r="AY12" s="158"/>
      <c r="AZ12" s="158"/>
      <c r="BA12" s="580"/>
      <c r="BB12" s="158"/>
      <c r="BC12" s="158"/>
      <c r="BD12" s="158"/>
      <c r="BE12" s="158"/>
      <c r="BF12" s="580"/>
      <c r="BG12" s="158"/>
      <c r="BH12" s="158"/>
      <c r="BI12" s="158"/>
      <c r="BJ12" s="158"/>
      <c r="BK12" s="580"/>
      <c r="BL12" s="158"/>
      <c r="BM12" s="158"/>
      <c r="BN12" s="158"/>
      <c r="BO12" s="158"/>
      <c r="BP12" s="580"/>
      <c r="BQ12" s="158"/>
      <c r="BR12" s="158"/>
      <c r="BS12" s="158"/>
      <c r="BT12" s="158"/>
      <c r="BU12" s="580"/>
      <c r="BV12" s="158"/>
      <c r="BW12" s="158"/>
      <c r="BX12" s="158"/>
      <c r="BY12" s="158"/>
      <c r="BZ12" s="580"/>
    </row>
    <row r="13" spans="2:78" s="150" customFormat="1" ht="13.15">
      <c r="B13" s="151" t="s">
        <v>517</v>
      </c>
      <c r="C13" s="159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580"/>
      <c r="X13" s="158"/>
      <c r="Y13" s="158"/>
      <c r="Z13" s="158"/>
      <c r="AA13" s="158"/>
      <c r="AB13" s="580"/>
      <c r="AC13" s="158"/>
      <c r="AD13" s="158"/>
      <c r="AE13" s="158"/>
      <c r="AF13" s="158"/>
      <c r="AG13" s="580"/>
      <c r="AH13" s="158"/>
      <c r="AI13" s="158"/>
      <c r="AJ13" s="158"/>
      <c r="AK13" s="158"/>
      <c r="AL13" s="580"/>
      <c r="AM13" s="158"/>
      <c r="AN13" s="158"/>
      <c r="AO13" s="158"/>
      <c r="AP13" s="158"/>
      <c r="AQ13" s="580"/>
      <c r="AR13" s="158"/>
      <c r="AS13" s="158"/>
      <c r="AT13" s="158"/>
      <c r="AU13" s="158"/>
      <c r="AV13" s="580"/>
      <c r="AW13" s="158"/>
      <c r="AX13" s="158"/>
      <c r="AY13" s="158"/>
      <c r="AZ13" s="158"/>
      <c r="BA13" s="580"/>
      <c r="BB13" s="158"/>
      <c r="BC13" s="158"/>
      <c r="BD13" s="158"/>
      <c r="BE13" s="158"/>
      <c r="BF13" s="580"/>
      <c r="BG13" s="158"/>
      <c r="BH13" s="158"/>
      <c r="BI13" s="158"/>
      <c r="BJ13" s="158"/>
      <c r="BK13" s="580"/>
      <c r="BL13" s="158"/>
      <c r="BM13" s="158"/>
      <c r="BN13" s="158"/>
      <c r="BO13" s="158"/>
      <c r="BP13" s="580"/>
      <c r="BQ13" s="158"/>
      <c r="BR13" s="158"/>
      <c r="BS13" s="158"/>
      <c r="BT13" s="158"/>
      <c r="BU13" s="580"/>
      <c r="BV13" s="158"/>
      <c r="BW13" s="158"/>
      <c r="BX13" s="158"/>
      <c r="BY13" s="158"/>
      <c r="BZ13" s="580"/>
    </row>
    <row r="14" spans="2:78" s="150" customFormat="1">
      <c r="B14" s="150" t="s">
        <v>186</v>
      </c>
      <c r="C14" s="159"/>
      <c r="D14" s="158"/>
      <c r="E14" s="158"/>
      <c r="F14" s="158"/>
      <c r="G14" s="158"/>
      <c r="H14" s="158"/>
      <c r="I14" s="158">
        <f t="shared" ref="I14:R15" si="12">+I8/D8-1</f>
        <v>0.22241767520405298</v>
      </c>
      <c r="J14" s="158">
        <f t="shared" si="12"/>
        <v>0.24478357755419</v>
      </c>
      <c r="K14" s="158">
        <f t="shared" si="12"/>
        <v>0.20475627217829806</v>
      </c>
      <c r="L14" s="158">
        <f t="shared" si="12"/>
        <v>0.15936573123431441</v>
      </c>
      <c r="M14" s="158">
        <f t="shared" si="12"/>
        <v>0.20552255014692733</v>
      </c>
      <c r="N14" s="158">
        <f t="shared" si="12"/>
        <v>0.22759454325677786</v>
      </c>
      <c r="O14" s="158">
        <f t="shared" si="12"/>
        <v>0.22708039492242604</v>
      </c>
      <c r="P14" s="158">
        <f t="shared" si="12"/>
        <v>0.24214551467548584</v>
      </c>
      <c r="Q14" s="158">
        <f t="shared" si="12"/>
        <v>0.25159893732165695</v>
      </c>
      <c r="R14" s="158">
        <f t="shared" si="12"/>
        <v>0.23766311187653177</v>
      </c>
      <c r="S14" s="158">
        <f t="shared" ref="S14:AB15" si="13">+S8/N8-1</f>
        <v>0.23510104562291922</v>
      </c>
      <c r="T14" s="158">
        <f t="shared" si="13"/>
        <v>0.24358974358974361</v>
      </c>
      <c r="U14" s="158">
        <f t="shared" si="13"/>
        <v>0.24773275646892423</v>
      </c>
      <c r="V14" s="158">
        <f t="shared" si="13"/>
        <v>0.21540880503144644</v>
      </c>
      <c r="W14" s="580">
        <f t="shared" si="13"/>
        <v>0.2350441530639551</v>
      </c>
      <c r="X14" s="158">
        <f t="shared" si="13"/>
        <v>0.24099312858281774</v>
      </c>
      <c r="Y14" s="158">
        <f t="shared" si="13"/>
        <v>0.21542836829008172</v>
      </c>
      <c r="Z14" s="158">
        <f t="shared" si="13"/>
        <v>0.19911312639615919</v>
      </c>
      <c r="AA14" s="158">
        <f t="shared" si="13"/>
        <v>0.19336998706338937</v>
      </c>
      <c r="AB14" s="580">
        <f t="shared" si="13"/>
        <v>0.2111124592664495</v>
      </c>
      <c r="AC14" s="158">
        <f t="shared" ref="AC14:AL15" si="14">+AC8/X8-1</f>
        <v>0.14598182874973231</v>
      </c>
      <c r="AD14" s="158">
        <f t="shared" si="14"/>
        <v>0.14179584673881251</v>
      </c>
      <c r="AE14" s="158">
        <f t="shared" si="14"/>
        <v>0.17578201028777984</v>
      </c>
      <c r="AF14" s="158">
        <f t="shared" si="14"/>
        <v>0.18959863410932543</v>
      </c>
      <c r="AG14" s="580">
        <f t="shared" si="14"/>
        <v>0.16414417895708544</v>
      </c>
      <c r="AH14" s="158">
        <f t="shared" si="14"/>
        <v>0.18293692106457393</v>
      </c>
      <c r="AI14" s="158">
        <f t="shared" si="14"/>
        <v>0.17319022490906288</v>
      </c>
      <c r="AJ14" s="158">
        <f t="shared" si="14"/>
        <v>0.11939839667037155</v>
      </c>
      <c r="AK14" s="158">
        <f t="shared" si="14"/>
        <v>0.10349698143296493</v>
      </c>
      <c r="AL14" s="580">
        <f t="shared" si="14"/>
        <v>0.14264726673674244</v>
      </c>
      <c r="AM14" s="158">
        <f t="shared" ref="AM14:AV15" si="15">+AM8/AH8-1</f>
        <v>9.7192760752809582E-2</v>
      </c>
      <c r="AN14" s="158">
        <f t="shared" si="15"/>
        <v>0.10709840826218908</v>
      </c>
      <c r="AO14" s="158">
        <f t="shared" si="15"/>
        <v>0.1224438059827615</v>
      </c>
      <c r="AP14" s="158">
        <f t="shared" si="15"/>
        <v>0.11685040670547919</v>
      </c>
      <c r="AQ14" s="580">
        <f t="shared" si="15"/>
        <v>0.11118582794923793</v>
      </c>
      <c r="AR14" s="158">
        <f t="shared" si="15"/>
        <v>0.13043746529277467</v>
      </c>
      <c r="AS14" s="158">
        <f t="shared" si="15"/>
        <v>0.12446749763332288</v>
      </c>
      <c r="AT14" s="158">
        <f t="shared" si="15"/>
        <v>0.11330271775954226</v>
      </c>
      <c r="AU14" s="158">
        <f t="shared" si="15"/>
        <v>9.6417612481052961E-2</v>
      </c>
      <c r="AV14" s="580">
        <f t="shared" si="15"/>
        <v>0.11565442618188859</v>
      </c>
      <c r="AW14" s="158">
        <f t="shared" ref="AW14:BF15" si="16">+AW8/AR8-1</f>
        <v>9.4045084875279628E-2</v>
      </c>
      <c r="AX14" s="158">
        <f t="shared" si="16"/>
        <v>6.9736034376918443E-2</v>
      </c>
      <c r="AY14" s="158">
        <f t="shared" si="16"/>
        <v>7.5179199350825066E-2</v>
      </c>
      <c r="AZ14" s="158">
        <f t="shared" si="16"/>
        <v>0.11403715817513582</v>
      </c>
      <c r="BA14" s="580">
        <f t="shared" si="16"/>
        <v>8.8333825137560495E-2</v>
      </c>
      <c r="BB14" s="158">
        <f t="shared" si="16"/>
        <v>0.12253043304729605</v>
      </c>
      <c r="BC14" s="158">
        <f t="shared" si="16"/>
        <v>0.17407486350445156</v>
      </c>
      <c r="BD14" s="158">
        <f t="shared" si="16"/>
        <v>0.18243997547131241</v>
      </c>
      <c r="BE14" s="158">
        <f t="shared" si="16"/>
        <v>0.20348376161506088</v>
      </c>
      <c r="BF14" s="580">
        <f t="shared" si="16"/>
        <v>0.1715861244019139</v>
      </c>
      <c r="BG14" s="158">
        <f t="shared" ref="BG14:BP15" si="17">+BG8/BB8-1</f>
        <v>0.15579259259259248</v>
      </c>
      <c r="BH14" s="158">
        <f t="shared" si="17"/>
        <v>0.15845994860909385</v>
      </c>
      <c r="BI14" s="158">
        <f t="shared" si="17"/>
        <v>0.135302252599665</v>
      </c>
      <c r="BJ14" s="158">
        <f t="shared" si="17"/>
        <v>8.1022285152369644E-2</v>
      </c>
      <c r="BK14" s="580">
        <f t="shared" si="17"/>
        <v>0.13096246925983324</v>
      </c>
      <c r="BL14" s="158">
        <f t="shared" si="17"/>
        <v>0.10792657916324866</v>
      </c>
      <c r="BM14" s="158">
        <f t="shared" si="17"/>
        <v>4.8038092941956378E-2</v>
      </c>
      <c r="BN14" s="158">
        <f t="shared" si="17"/>
        <v>4.5222952317368836E-2</v>
      </c>
      <c r="BO14" s="158">
        <f t="shared" si="17"/>
        <v>4.4321425663335745E-2</v>
      </c>
      <c r="BP14" s="580">
        <f t="shared" si="17"/>
        <v>6.041310202669159E-2</v>
      </c>
      <c r="BQ14" s="158">
        <f t="shared" ref="BQ14:BZ15" si="18">+BQ8/BL8-1</f>
        <v>5.5428293766486281E-2</v>
      </c>
      <c r="BR14" s="158">
        <f t="shared" si="18"/>
        <v>6.7322291235334619E-2</v>
      </c>
      <c r="BS14" s="158">
        <f t="shared" si="18"/>
        <v>7.1617472377238478E-2</v>
      </c>
      <c r="BT14" s="158">
        <f t="shared" si="18"/>
        <v>-1</v>
      </c>
      <c r="BU14" s="580">
        <f t="shared" si="18"/>
        <v>-1</v>
      </c>
      <c r="BV14" s="158">
        <f t="shared" si="18"/>
        <v>-1</v>
      </c>
      <c r="BW14" s="158">
        <f t="shared" si="18"/>
        <v>-1</v>
      </c>
      <c r="BX14" s="158">
        <f t="shared" si="18"/>
        <v>-1</v>
      </c>
      <c r="BY14" s="158" t="e">
        <f t="shared" si="18"/>
        <v>#DIV/0!</v>
      </c>
      <c r="BZ14" s="580" t="e">
        <f t="shared" si="18"/>
        <v>#DIV/0!</v>
      </c>
    </row>
    <row r="15" spans="2:78" s="150" customFormat="1">
      <c r="B15" s="150" t="s">
        <v>436</v>
      </c>
      <c r="C15" s="159"/>
      <c r="D15" s="158"/>
      <c r="E15" s="158"/>
      <c r="F15" s="158"/>
      <c r="G15" s="158"/>
      <c r="H15" s="158"/>
      <c r="I15" s="158">
        <f t="shared" si="12"/>
        <v>7.608539905430578E-2</v>
      </c>
      <c r="J15" s="158">
        <f t="shared" si="12"/>
        <v>6.4489906516732143E-2</v>
      </c>
      <c r="K15" s="158">
        <f t="shared" si="12"/>
        <v>0.14728788085804068</v>
      </c>
      <c r="L15" s="158">
        <f t="shared" si="12"/>
        <v>0.22287719298245623</v>
      </c>
      <c r="M15" s="158">
        <f t="shared" si="12"/>
        <v>0.127517011526177</v>
      </c>
      <c r="N15" s="158">
        <f t="shared" si="12"/>
        <v>0.20226364846870837</v>
      </c>
      <c r="O15" s="158">
        <f t="shared" si="12"/>
        <v>0.23227695049000885</v>
      </c>
      <c r="P15" s="158">
        <f t="shared" si="12"/>
        <v>0.22781945933071346</v>
      </c>
      <c r="Q15" s="158">
        <f t="shared" si="12"/>
        <v>0.27774589693561347</v>
      </c>
      <c r="R15" s="158">
        <f t="shared" si="12"/>
        <v>0.23638267081319086</v>
      </c>
      <c r="S15" s="158">
        <f t="shared" si="13"/>
        <v>0.23513124377007411</v>
      </c>
      <c r="T15" s="158">
        <f t="shared" si="13"/>
        <v>0.21328237967362118</v>
      </c>
      <c r="U15" s="158">
        <f t="shared" si="13"/>
        <v>0.21008729388942782</v>
      </c>
      <c r="V15" s="158">
        <f t="shared" si="13"/>
        <v>0.21485673223749213</v>
      </c>
      <c r="W15" s="580">
        <f t="shared" si="13"/>
        <v>0.21781142600986203</v>
      </c>
      <c r="X15" s="158">
        <f t="shared" si="13"/>
        <v>0.21583572453371591</v>
      </c>
      <c r="Y15" s="158">
        <f t="shared" si="13"/>
        <v>0.21528900995998979</v>
      </c>
      <c r="Z15" s="158">
        <f t="shared" si="13"/>
        <v>0.20407181789034956</v>
      </c>
      <c r="AA15" s="158">
        <f t="shared" si="13"/>
        <v>0.13308687615526793</v>
      </c>
      <c r="AB15" s="580">
        <f t="shared" si="13"/>
        <v>0.1898159509202455</v>
      </c>
      <c r="AC15" s="158">
        <f t="shared" si="14"/>
        <v>0.15495243012021542</v>
      </c>
      <c r="AD15" s="158">
        <f t="shared" si="14"/>
        <v>0.13925469319137007</v>
      </c>
      <c r="AE15" s="158">
        <f t="shared" si="14"/>
        <v>0.14518705898016249</v>
      </c>
      <c r="AF15" s="158">
        <f t="shared" si="14"/>
        <v>0.24110929853181085</v>
      </c>
      <c r="AG15" s="580">
        <f t="shared" si="14"/>
        <v>0.17127290227218039</v>
      </c>
      <c r="AH15" s="158">
        <f t="shared" si="14"/>
        <v>0.31315453384418901</v>
      </c>
      <c r="AI15" s="158">
        <f t="shared" si="14"/>
        <v>0.37444663059517946</v>
      </c>
      <c r="AJ15" s="158">
        <f t="shared" si="14"/>
        <v>0.41382317037725969</v>
      </c>
      <c r="AK15" s="158">
        <f t="shared" si="14"/>
        <v>0.35446898002103056</v>
      </c>
      <c r="AL15" s="580">
        <f t="shared" si="14"/>
        <v>0.36472625354014121</v>
      </c>
      <c r="AM15" s="158">
        <f t="shared" si="15"/>
        <v>0.2994553588795954</v>
      </c>
      <c r="AN15" s="158">
        <f t="shared" si="15"/>
        <v>0.26263755927350818</v>
      </c>
      <c r="AO15" s="158">
        <f t="shared" si="15"/>
        <v>0.21449716306224809</v>
      </c>
      <c r="AP15" s="158">
        <f t="shared" si="15"/>
        <v>0.18647620526356645</v>
      </c>
      <c r="AQ15" s="580">
        <f t="shared" si="15"/>
        <v>0.23709167544783982</v>
      </c>
      <c r="AR15" s="158">
        <f t="shared" si="15"/>
        <v>0.17131951201257389</v>
      </c>
      <c r="AS15" s="158">
        <f t="shared" si="15"/>
        <v>0.1271922054915855</v>
      </c>
      <c r="AT15" s="158">
        <f t="shared" si="15"/>
        <v>0.14821083990656425</v>
      </c>
      <c r="AU15" s="158">
        <f t="shared" si="15"/>
        <v>0.16099587777268853</v>
      </c>
      <c r="AV15" s="580">
        <f t="shared" si="15"/>
        <v>0.15181830824322917</v>
      </c>
      <c r="AW15" s="158">
        <f t="shared" si="16"/>
        <v>0.17009584664536748</v>
      </c>
      <c r="AX15" s="158">
        <f t="shared" si="16"/>
        <v>0.21675310388181668</v>
      </c>
      <c r="AY15" s="158">
        <f t="shared" si="16"/>
        <v>0.21871038122475461</v>
      </c>
      <c r="AZ15" s="158">
        <f t="shared" si="16"/>
        <v>0.23149322287034679</v>
      </c>
      <c r="BA15" s="580">
        <f t="shared" si="16"/>
        <v>0.21018118156641696</v>
      </c>
      <c r="BB15" s="158">
        <f t="shared" si="16"/>
        <v>0.25382262996941907</v>
      </c>
      <c r="BC15" s="158">
        <f t="shared" si="16"/>
        <v>0.24731988323732268</v>
      </c>
      <c r="BD15" s="158">
        <f t="shared" si="16"/>
        <v>0.21831377767025528</v>
      </c>
      <c r="BE15" s="158">
        <f t="shared" si="16"/>
        <v>0.17443595258798261</v>
      </c>
      <c r="BF15" s="580">
        <f t="shared" si="16"/>
        <v>0.22146758785822973</v>
      </c>
      <c r="BG15" s="158">
        <f t="shared" si="17"/>
        <v>0.14692944250871087</v>
      </c>
      <c r="BH15" s="158">
        <f t="shared" si="17"/>
        <v>0.12362017189603391</v>
      </c>
      <c r="BI15" s="158">
        <f t="shared" si="17"/>
        <v>0.12430747234853756</v>
      </c>
      <c r="BJ15" s="158">
        <f t="shared" si="17"/>
        <v>0.14179779133836767</v>
      </c>
      <c r="BK15" s="580">
        <f t="shared" si="17"/>
        <v>0.13402372361518644</v>
      </c>
      <c r="BL15" s="158">
        <f t="shared" si="17"/>
        <v>0.12725235916228383</v>
      </c>
      <c r="BM15" s="158">
        <f t="shared" si="17"/>
        <v>0.13849670070409559</v>
      </c>
      <c r="BN15" s="158">
        <f t="shared" si="17"/>
        <v>0.14147194404705132</v>
      </c>
      <c r="BO15" s="158">
        <f t="shared" si="17"/>
        <v>0.18447553879494194</v>
      </c>
      <c r="BP15" s="580">
        <f t="shared" si="17"/>
        <v>0.14871870821948008</v>
      </c>
      <c r="BQ15" s="158">
        <f t="shared" si="18"/>
        <v>0.15669794000235804</v>
      </c>
      <c r="BR15" s="158">
        <f t="shared" si="18"/>
        <v>0.15381751068514449</v>
      </c>
      <c r="BS15" s="158">
        <f t="shared" si="18"/>
        <v>0.14891147936684779</v>
      </c>
      <c r="BT15" s="158">
        <f t="shared" si="18"/>
        <v>-1</v>
      </c>
      <c r="BU15" s="580">
        <f t="shared" si="18"/>
        <v>-1</v>
      </c>
      <c r="BV15" s="158">
        <f t="shared" si="18"/>
        <v>-1</v>
      </c>
      <c r="BW15" s="158">
        <f t="shared" si="18"/>
        <v>-1</v>
      </c>
      <c r="BX15" s="158">
        <f t="shared" si="18"/>
        <v>-1</v>
      </c>
      <c r="BY15" s="158" t="e">
        <f t="shared" si="18"/>
        <v>#DIV/0!</v>
      </c>
      <c r="BZ15" s="580" t="e">
        <f t="shared" si="18"/>
        <v>#DIV/0!</v>
      </c>
    </row>
    <row r="16" spans="2:78" s="150" customFormat="1" ht="5.25" customHeight="1">
      <c r="B16" s="155"/>
      <c r="C16" s="159"/>
      <c r="D16" s="272"/>
      <c r="E16" s="272"/>
      <c r="F16" s="272"/>
      <c r="G16" s="272"/>
      <c r="H16" s="272"/>
      <c r="I16" s="272" t="s">
        <v>131</v>
      </c>
      <c r="J16" s="272" t="s">
        <v>131</v>
      </c>
      <c r="K16" s="272" t="s">
        <v>131</v>
      </c>
      <c r="L16" s="272" t="s">
        <v>131</v>
      </c>
      <c r="M16" s="272" t="s">
        <v>131</v>
      </c>
      <c r="N16" s="272" t="s">
        <v>131</v>
      </c>
      <c r="O16" s="272" t="s">
        <v>131</v>
      </c>
      <c r="P16" s="272" t="s">
        <v>131</v>
      </c>
      <c r="Q16" s="272" t="s">
        <v>131</v>
      </c>
      <c r="R16" s="272" t="s">
        <v>131</v>
      </c>
      <c r="S16" s="272" t="s">
        <v>131</v>
      </c>
      <c r="T16" s="272" t="s">
        <v>131</v>
      </c>
      <c r="U16" s="272" t="s">
        <v>131</v>
      </c>
      <c r="V16" s="272" t="s">
        <v>131</v>
      </c>
      <c r="W16" s="581" t="s">
        <v>131</v>
      </c>
      <c r="X16" s="272" t="s">
        <v>131</v>
      </c>
      <c r="Y16" s="272" t="s">
        <v>131</v>
      </c>
      <c r="Z16" s="272" t="s">
        <v>131</v>
      </c>
      <c r="AA16" s="272" t="s">
        <v>131</v>
      </c>
      <c r="AB16" s="581" t="s">
        <v>131</v>
      </c>
      <c r="AC16" s="272" t="s">
        <v>131</v>
      </c>
      <c r="AD16" s="272" t="s">
        <v>131</v>
      </c>
      <c r="AE16" s="272" t="s">
        <v>131</v>
      </c>
      <c r="AF16" s="272" t="s">
        <v>131</v>
      </c>
      <c r="AG16" s="581" t="s">
        <v>131</v>
      </c>
      <c r="AH16" s="272" t="s">
        <v>131</v>
      </c>
      <c r="AI16" s="272" t="s">
        <v>131</v>
      </c>
      <c r="AJ16" s="272" t="s">
        <v>131</v>
      </c>
      <c r="AK16" s="272" t="s">
        <v>131</v>
      </c>
      <c r="AL16" s="581" t="s">
        <v>131</v>
      </c>
      <c r="AM16" s="272" t="s">
        <v>131</v>
      </c>
      <c r="AN16" s="272" t="s">
        <v>131</v>
      </c>
      <c r="AO16" s="272" t="s">
        <v>131</v>
      </c>
      <c r="AP16" s="272" t="s">
        <v>131</v>
      </c>
      <c r="AQ16" s="581" t="s">
        <v>131</v>
      </c>
      <c r="AR16" s="272" t="s">
        <v>131</v>
      </c>
      <c r="AS16" s="272" t="s">
        <v>131</v>
      </c>
      <c r="AT16" s="272" t="s">
        <v>131</v>
      </c>
      <c r="AU16" s="272" t="s">
        <v>131</v>
      </c>
      <c r="AV16" s="581" t="s">
        <v>131</v>
      </c>
      <c r="AW16" s="272" t="s">
        <v>131</v>
      </c>
      <c r="AX16" s="272" t="s">
        <v>131</v>
      </c>
      <c r="AY16" s="272" t="s">
        <v>131</v>
      </c>
      <c r="AZ16" s="272" t="s">
        <v>131</v>
      </c>
      <c r="BA16" s="581" t="s">
        <v>131</v>
      </c>
      <c r="BB16" s="272" t="s">
        <v>131</v>
      </c>
      <c r="BC16" s="272" t="s">
        <v>131</v>
      </c>
      <c r="BD16" s="272" t="s">
        <v>131</v>
      </c>
      <c r="BE16" s="272" t="s">
        <v>131</v>
      </c>
      <c r="BF16" s="581" t="s">
        <v>131</v>
      </c>
      <c r="BG16" s="272" t="s">
        <v>131</v>
      </c>
      <c r="BH16" s="272" t="s">
        <v>131</v>
      </c>
      <c r="BI16" s="272" t="s">
        <v>131</v>
      </c>
      <c r="BJ16" s="272" t="s">
        <v>131</v>
      </c>
      <c r="BK16" s="581" t="s">
        <v>131</v>
      </c>
      <c r="BL16" s="272" t="s">
        <v>131</v>
      </c>
      <c r="BM16" s="272" t="s">
        <v>131</v>
      </c>
      <c r="BN16" s="272" t="s">
        <v>131</v>
      </c>
      <c r="BO16" s="272" t="s">
        <v>131</v>
      </c>
      <c r="BP16" s="581" t="s">
        <v>131</v>
      </c>
      <c r="BQ16" s="272" t="s">
        <v>131</v>
      </c>
      <c r="BR16" s="272" t="s">
        <v>131</v>
      </c>
      <c r="BS16" s="272" t="s">
        <v>131</v>
      </c>
      <c r="BT16" s="272" t="s">
        <v>131</v>
      </c>
      <c r="BU16" s="581" t="s">
        <v>131</v>
      </c>
      <c r="BV16" s="272" t="s">
        <v>131</v>
      </c>
      <c r="BW16" s="272" t="s">
        <v>131</v>
      </c>
      <c r="BX16" s="272" t="s">
        <v>131</v>
      </c>
      <c r="BY16" s="272" t="s">
        <v>131</v>
      </c>
      <c r="BZ16" s="581" t="s">
        <v>131</v>
      </c>
    </row>
    <row r="17" spans="2:78" s="150" customFormat="1">
      <c r="B17" s="150" t="s">
        <v>130</v>
      </c>
      <c r="C17" s="159"/>
      <c r="D17" s="158"/>
      <c r="E17" s="158"/>
      <c r="F17" s="158"/>
      <c r="G17" s="158"/>
      <c r="H17" s="158"/>
      <c r="I17" s="158">
        <f t="shared" ref="I17:AN17" si="19">+I11/D11-1</f>
        <v>0.17422490680005653</v>
      </c>
      <c r="J17" s="158">
        <f t="shared" si="19"/>
        <v>0.18481297881928804</v>
      </c>
      <c r="K17" s="158">
        <f t="shared" si="19"/>
        <v>0.18676759900778372</v>
      </c>
      <c r="L17" s="158">
        <f t="shared" si="19"/>
        <v>0.17771829500750291</v>
      </c>
      <c r="M17" s="158">
        <f t="shared" si="19"/>
        <v>0.18094508860205649</v>
      </c>
      <c r="N17" s="158">
        <f t="shared" si="19"/>
        <v>0.21994936301892865</v>
      </c>
      <c r="O17" s="158">
        <f t="shared" si="19"/>
        <v>0.22863337263702399</v>
      </c>
      <c r="P17" s="158">
        <f t="shared" si="19"/>
        <v>0.23781037154492046</v>
      </c>
      <c r="Q17" s="158">
        <f t="shared" si="19"/>
        <v>0.25944419573676769</v>
      </c>
      <c r="R17" s="158">
        <f t="shared" si="19"/>
        <v>0.23727793112391393</v>
      </c>
      <c r="S17" s="158">
        <f t="shared" si="19"/>
        <v>0.23511002767163003</v>
      </c>
      <c r="T17" s="158">
        <f t="shared" si="19"/>
        <v>0.23450560336821247</v>
      </c>
      <c r="U17" s="158">
        <f t="shared" si="19"/>
        <v>0.23643298008617686</v>
      </c>
      <c r="V17" s="158">
        <f t="shared" si="19"/>
        <v>0.21524075137396448</v>
      </c>
      <c r="W17" s="580">
        <f t="shared" si="19"/>
        <v>0.22986397562491101</v>
      </c>
      <c r="X17" s="158">
        <f t="shared" si="19"/>
        <v>0.23351025524764624</v>
      </c>
      <c r="Y17" s="158">
        <f t="shared" si="19"/>
        <v>0.21538731599668992</v>
      </c>
      <c r="Z17" s="158">
        <f t="shared" si="19"/>
        <v>0.20056982740351792</v>
      </c>
      <c r="AA17" s="158">
        <f t="shared" si="19"/>
        <v>0.17502531218359763</v>
      </c>
      <c r="AB17" s="580">
        <f t="shared" si="19"/>
        <v>0.20477344111416818</v>
      </c>
      <c r="AC17" s="158">
        <f t="shared" si="19"/>
        <v>0.14861183186299942</v>
      </c>
      <c r="AD17" s="158">
        <f t="shared" si="19"/>
        <v>0.14104733215037335</v>
      </c>
      <c r="AE17" s="158">
        <f t="shared" si="19"/>
        <v>0.1667679996861946</v>
      </c>
      <c r="AF17" s="158">
        <f t="shared" si="19"/>
        <v>0.20471430759803932</v>
      </c>
      <c r="AG17" s="580">
        <f t="shared" si="19"/>
        <v>0.16623973727421992</v>
      </c>
      <c r="AH17" s="158">
        <f t="shared" si="19"/>
        <v>0.22132489975715819</v>
      </c>
      <c r="AI17" s="158">
        <f t="shared" si="19"/>
        <v>0.23237857582004273</v>
      </c>
      <c r="AJ17" s="158">
        <f t="shared" si="19"/>
        <v>0.20453857791225416</v>
      </c>
      <c r="AK17" s="158">
        <f t="shared" si="19"/>
        <v>0.17936898990701744</v>
      </c>
      <c r="AL17" s="580">
        <f t="shared" si="19"/>
        <v>0.20821130885334527</v>
      </c>
      <c r="AM17" s="158">
        <f t="shared" si="19"/>
        <v>0.16130275285921258</v>
      </c>
      <c r="AN17" s="158">
        <f t="shared" si="19"/>
        <v>0.158114829868091</v>
      </c>
      <c r="AO17" s="158">
        <f t="shared" ref="AO17:BT17" si="20">+AO11/AJ11-1</f>
        <v>0.1536883530101314</v>
      </c>
      <c r="AP17" s="158">
        <f t="shared" si="20"/>
        <v>0.14102425876010782</v>
      </c>
      <c r="AQ17" s="580">
        <f t="shared" si="20"/>
        <v>0.15317205052906346</v>
      </c>
      <c r="AR17" s="158">
        <f t="shared" si="20"/>
        <v>0.14493715408199837</v>
      </c>
      <c r="AS17" s="158">
        <f t="shared" si="20"/>
        <v>0.12544185280441922</v>
      </c>
      <c r="AT17" s="158">
        <f t="shared" si="20"/>
        <v>0.12577566498530324</v>
      </c>
      <c r="AU17" s="158">
        <f t="shared" si="20"/>
        <v>0.11973211754700941</v>
      </c>
      <c r="AV17" s="580">
        <f t="shared" si="20"/>
        <v>0.12859172841387156</v>
      </c>
      <c r="AW17" s="158">
        <f t="shared" si="20"/>
        <v>0.12163963692428958</v>
      </c>
      <c r="AX17" s="158">
        <f t="shared" si="20"/>
        <v>0.12239108409321164</v>
      </c>
      <c r="AY17" s="158">
        <f t="shared" si="20"/>
        <v>0.12748605873061924</v>
      </c>
      <c r="AZ17" s="158">
        <f t="shared" si="20"/>
        <v>0.15800466239807598</v>
      </c>
      <c r="BA17" s="580">
        <f t="shared" si="20"/>
        <v>0.13282070073258145</v>
      </c>
      <c r="BB17" s="158">
        <f t="shared" si="20"/>
        <v>0.17222704535119271</v>
      </c>
      <c r="BC17" s="158">
        <f t="shared" si="20"/>
        <v>0.20251349020079834</v>
      </c>
      <c r="BD17" s="158">
        <f t="shared" si="20"/>
        <v>0.19657117807383684</v>
      </c>
      <c r="BE17" s="158">
        <f t="shared" si="20"/>
        <v>0.19192020404445254</v>
      </c>
      <c r="BF17" s="580">
        <f t="shared" si="20"/>
        <v>0.19104170517447683</v>
      </c>
      <c r="BG17" s="158">
        <f t="shared" si="20"/>
        <v>0.15220419679068953</v>
      </c>
      <c r="BH17" s="158">
        <f t="shared" si="20"/>
        <v>0.14442878233091183</v>
      </c>
      <c r="BI17" s="158">
        <f t="shared" si="20"/>
        <v>0.13089255421667545</v>
      </c>
      <c r="BJ17" s="158">
        <f t="shared" si="20"/>
        <v>0.1048613287071356</v>
      </c>
      <c r="BK17" s="580">
        <f t="shared" si="20"/>
        <v>0.13218697100197452</v>
      </c>
      <c r="BL17" s="158">
        <f t="shared" si="20"/>
        <v>0.11571512744580392</v>
      </c>
      <c r="BM17" s="158">
        <f t="shared" si="20"/>
        <v>8.3806455844733119E-2</v>
      </c>
      <c r="BN17" s="158">
        <f t="shared" si="20"/>
        <v>8.3600946505535401E-2</v>
      </c>
      <c r="BO17" s="158">
        <f t="shared" si="20"/>
        <v>0.1011343985612505</v>
      </c>
      <c r="BP17" s="580">
        <f t="shared" si="20"/>
        <v>9.5792647955300403E-2</v>
      </c>
      <c r="BQ17" s="158">
        <f t="shared" si="20"/>
        <v>9.6663351736908876E-2</v>
      </c>
      <c r="BR17" s="158">
        <f t="shared" si="20"/>
        <v>0.10324932081663385</v>
      </c>
      <c r="BS17" s="158">
        <f t="shared" si="20"/>
        <v>0.1040833966997472</v>
      </c>
      <c r="BT17" s="158">
        <f t="shared" si="20"/>
        <v>-1</v>
      </c>
      <c r="BU17" s="580">
        <f t="shared" ref="BU17:BZ17" si="21">+BU11/BP11-1</f>
        <v>-1</v>
      </c>
      <c r="BV17" s="158">
        <f t="shared" si="21"/>
        <v>-1</v>
      </c>
      <c r="BW17" s="158">
        <f t="shared" si="21"/>
        <v>-1</v>
      </c>
      <c r="BX17" s="158">
        <f t="shared" si="21"/>
        <v>-1</v>
      </c>
      <c r="BY17" s="158" t="e">
        <f t="shared" si="21"/>
        <v>#DIV/0!</v>
      </c>
      <c r="BZ17" s="580" t="e">
        <f t="shared" si="21"/>
        <v>#DIV/0!</v>
      </c>
    </row>
    <row r="18" spans="2:78" s="150" customFormat="1">
      <c r="C18" s="159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580"/>
      <c r="X18" s="158"/>
      <c r="Y18" s="158"/>
      <c r="Z18" s="158"/>
      <c r="AA18" s="158"/>
      <c r="AB18" s="580"/>
      <c r="AC18" s="158"/>
      <c r="AD18" s="158"/>
      <c r="AE18" s="158"/>
      <c r="AF18" s="158"/>
      <c r="AG18" s="580"/>
      <c r="AH18" s="158"/>
      <c r="AI18" s="158"/>
      <c r="AJ18" s="158"/>
      <c r="AK18" s="158"/>
      <c r="AL18" s="580"/>
      <c r="AM18" s="158"/>
      <c r="AN18" s="158"/>
      <c r="AO18" s="158"/>
      <c r="AP18" s="158"/>
      <c r="AQ18" s="580"/>
      <c r="AR18" s="158"/>
      <c r="AS18" s="158"/>
      <c r="AT18" s="158"/>
      <c r="AU18" s="158"/>
      <c r="AV18" s="580"/>
      <c r="AW18" s="158"/>
      <c r="AX18" s="158"/>
      <c r="AY18" s="158"/>
      <c r="AZ18" s="158"/>
      <c r="BA18" s="580"/>
      <c r="BB18" s="158"/>
      <c r="BC18" s="158"/>
      <c r="BD18" s="158"/>
      <c r="BE18" s="158"/>
      <c r="BF18" s="580"/>
      <c r="BG18" s="158"/>
      <c r="BH18" s="158"/>
      <c r="BI18" s="158"/>
      <c r="BJ18" s="158"/>
      <c r="BK18" s="580"/>
      <c r="BL18" s="158"/>
      <c r="BM18" s="158"/>
      <c r="BN18" s="158"/>
      <c r="BO18" s="158"/>
      <c r="BP18" s="580"/>
      <c r="BQ18" s="158"/>
      <c r="BR18" s="158"/>
      <c r="BS18" s="158"/>
      <c r="BT18" s="158"/>
      <c r="BU18" s="580"/>
      <c r="BV18" s="158"/>
      <c r="BW18" s="158"/>
      <c r="BX18" s="158"/>
      <c r="BY18" s="158"/>
      <c r="BZ18" s="580"/>
    </row>
    <row r="19" spans="2:78" s="150" customFormat="1" ht="13.15">
      <c r="B19" s="151" t="s">
        <v>516</v>
      </c>
      <c r="C19" s="159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580"/>
      <c r="X19" s="158"/>
      <c r="Y19" s="158"/>
      <c r="Z19" s="158"/>
      <c r="AA19" s="158"/>
      <c r="AB19" s="580"/>
      <c r="AC19" s="158"/>
      <c r="AD19" s="158"/>
      <c r="AE19" s="158"/>
      <c r="AF19" s="158"/>
      <c r="AG19" s="580"/>
      <c r="AH19" s="158"/>
      <c r="AI19" s="158"/>
      <c r="AJ19" s="158"/>
      <c r="AK19" s="158"/>
      <c r="AL19" s="580"/>
      <c r="AM19" s="158"/>
      <c r="AN19" s="158"/>
      <c r="AO19" s="158"/>
      <c r="AP19" s="158"/>
      <c r="AQ19" s="580"/>
      <c r="AR19" s="158"/>
      <c r="AS19" s="158"/>
      <c r="AT19" s="158"/>
      <c r="AU19" s="158"/>
      <c r="AV19" s="580"/>
      <c r="AW19" s="158"/>
      <c r="AX19" s="158"/>
      <c r="AY19" s="158"/>
      <c r="AZ19" s="158"/>
      <c r="BA19" s="580"/>
      <c r="BB19" s="158"/>
      <c r="BC19" s="158"/>
      <c r="BD19" s="158"/>
      <c r="BE19" s="158"/>
      <c r="BF19" s="580"/>
      <c r="BG19" s="158"/>
      <c r="BH19" s="158"/>
      <c r="BI19" s="158"/>
      <c r="BJ19" s="158"/>
      <c r="BK19" s="580"/>
      <c r="BL19" s="158"/>
      <c r="BM19" s="158"/>
      <c r="BN19" s="158"/>
      <c r="BO19" s="158"/>
      <c r="BP19" s="580"/>
      <c r="BQ19" s="158"/>
      <c r="BR19" s="158"/>
      <c r="BS19" s="158"/>
      <c r="BT19" s="158"/>
      <c r="BU19" s="580"/>
      <c r="BV19" s="158"/>
      <c r="BW19" s="158"/>
      <c r="BX19" s="158"/>
      <c r="BY19" s="158"/>
      <c r="BZ19" s="580"/>
    </row>
    <row r="20" spans="2:78" s="150" customFormat="1">
      <c r="B20" s="150" t="s">
        <v>186</v>
      </c>
      <c r="C20" s="159"/>
      <c r="D20" s="158"/>
      <c r="E20" s="158">
        <f t="shared" ref="E20:G21" si="22">+E8/D8-1</f>
        <v>4.2006754855052009E-2</v>
      </c>
      <c r="F20" s="158">
        <f t="shared" si="22"/>
        <v>8.4678236207711421E-2</v>
      </c>
      <c r="G20" s="158">
        <f t="shared" si="22"/>
        <v>9.1452406150781318E-2</v>
      </c>
      <c r="H20" s="158"/>
      <c r="I20" s="158">
        <f>+I8/G8-1</f>
        <v>-9.0691307323750303E-3</v>
      </c>
      <c r="J20" s="158">
        <f t="shared" ref="J20:L21" si="23">+J8/I8-1</f>
        <v>6.1071778046393854E-2</v>
      </c>
      <c r="K20" s="158">
        <f t="shared" si="23"/>
        <v>4.9799283931865057E-2</v>
      </c>
      <c r="L20" s="158">
        <f t="shared" si="23"/>
        <v>5.0330715171558404E-2</v>
      </c>
      <c r="M20" s="158"/>
      <c r="N20" s="158">
        <f>+N8/L8-1</f>
        <v>4.9247269507035396E-2</v>
      </c>
      <c r="O20" s="158">
        <f t="shared" ref="O20:Q21" si="24">+O8/N8-1</f>
        <v>6.0627373751582558E-2</v>
      </c>
      <c r="P20" s="158">
        <f t="shared" si="24"/>
        <v>6.2687886825817829E-2</v>
      </c>
      <c r="Q20" s="158">
        <f t="shared" si="24"/>
        <v>5.8324319826940751E-2</v>
      </c>
      <c r="R20" s="158"/>
      <c r="S20" s="158">
        <f>+S8/Q8-1</f>
        <v>3.5416666666666652E-2</v>
      </c>
      <c r="T20" s="158">
        <f t="shared" ref="T20:V21" si="25">+T8/S8-1</f>
        <v>6.791693557571854E-2</v>
      </c>
      <c r="U20" s="158">
        <f t="shared" si="25"/>
        <v>6.6228226093139053E-2</v>
      </c>
      <c r="V20" s="158">
        <f t="shared" si="25"/>
        <v>3.0907211682726032E-2</v>
      </c>
      <c r="W20" s="580"/>
      <c r="X20" s="158">
        <f>+X8/V8-1</f>
        <v>5.721216041397148E-2</v>
      </c>
      <c r="Y20" s="158">
        <f t="shared" ref="Y20:AA21" si="26">+Y8/X8-1</f>
        <v>4.5917586955856793E-2</v>
      </c>
      <c r="Z20" s="158">
        <f t="shared" si="26"/>
        <v>5.1915764843521561E-2</v>
      </c>
      <c r="AA20" s="158">
        <f t="shared" si="26"/>
        <v>2.5969692756846907E-2</v>
      </c>
      <c r="AB20" s="580"/>
      <c r="AC20" s="158">
        <f>+AC8/AA8-1</f>
        <v>1.5230765061383877E-2</v>
      </c>
      <c r="AD20" s="158">
        <f t="shared" ref="AD20:AF21" si="27">+AD8/AC8-1</f>
        <v>4.2097114332238839E-2</v>
      </c>
      <c r="AE20" s="158">
        <f t="shared" si="27"/>
        <v>8.3226599723346562E-2</v>
      </c>
      <c r="AF20" s="158">
        <f t="shared" si="27"/>
        <v>3.8025870835008302E-2</v>
      </c>
      <c r="AG20" s="580"/>
      <c r="AH20" s="158">
        <f>+AH8/AF8-1</f>
        <v>9.54550632190454E-3</v>
      </c>
      <c r="AI20" s="158">
        <f t="shared" ref="AI20:AK21" si="28">+AI8/AH8-1</f>
        <v>3.351085435753931E-2</v>
      </c>
      <c r="AJ20" s="158">
        <f t="shared" si="28"/>
        <v>3.3559684709273174E-2</v>
      </c>
      <c r="AK20" s="158">
        <f t="shared" si="28"/>
        <v>2.3280378570221361E-2</v>
      </c>
      <c r="AL20" s="580"/>
      <c r="AM20" s="158">
        <f>+AM8/AK8-1</f>
        <v>3.7780255171560029E-3</v>
      </c>
      <c r="AN20" s="158">
        <f t="shared" ref="AN20:AP21" si="29">+AN8/AM8-1</f>
        <v>4.28415705147982E-2</v>
      </c>
      <c r="AO20" s="158">
        <f t="shared" si="29"/>
        <v>4.788576838119285E-2</v>
      </c>
      <c r="AP20" s="158">
        <f t="shared" si="29"/>
        <v>1.8181133780019509E-2</v>
      </c>
      <c r="AQ20" s="580"/>
      <c r="AR20" s="158">
        <f>+AR8/AP8-1</f>
        <v>1.5989500536064183E-2</v>
      </c>
      <c r="AS20" s="158">
        <f t="shared" ref="AS20:AU21" si="30">+AS8/AR8-1</f>
        <v>3.7334206648108825E-2</v>
      </c>
      <c r="AT20" s="158">
        <f t="shared" si="30"/>
        <v>3.7481364553187735E-2</v>
      </c>
      <c r="AU20" s="158">
        <f t="shared" si="30"/>
        <v>2.7387070597781893E-3</v>
      </c>
      <c r="AV20" s="580"/>
      <c r="AW20" s="158">
        <f>+AW8/AU8-1</f>
        <v>1.3791010554000671E-2</v>
      </c>
      <c r="AX20" s="158">
        <f t="shared" ref="AX20:AZ21" si="31">+AX8/AW8-1</f>
        <v>1.428523914055746E-2</v>
      </c>
      <c r="AY20" s="158">
        <f t="shared" si="31"/>
        <v>4.2760407273204182E-2</v>
      </c>
      <c r="AZ20" s="158">
        <f t="shared" si="31"/>
        <v>3.8978600292457477E-2</v>
      </c>
      <c r="BA20" s="580"/>
      <c r="BB20" s="158">
        <f>+BB8/AZ8-1</f>
        <v>2.152002179242718E-2</v>
      </c>
      <c r="BC20" s="158">
        <f t="shared" ref="BC20:BE21" si="32">+BC8/BB8-1</f>
        <v>6.0859259259259169E-2</v>
      </c>
      <c r="BD20" s="158">
        <f t="shared" si="32"/>
        <v>5.0189922913640883E-2</v>
      </c>
      <c r="BE20" s="158">
        <f t="shared" si="32"/>
        <v>5.7469216244248722E-2</v>
      </c>
      <c r="BF20" s="580"/>
      <c r="BG20" s="158">
        <f>+BG8/BE8-1</f>
        <v>-1.8960361552138982E-2</v>
      </c>
      <c r="BH20" s="158">
        <f t="shared" ref="BH20:BJ21" si="33">+BH8/BG8-1</f>
        <v>6.3307526661197766E-2</v>
      </c>
      <c r="BI20" s="158">
        <f t="shared" si="33"/>
        <v>2.9196552347658278E-2</v>
      </c>
      <c r="BJ20" s="158">
        <f t="shared" si="33"/>
        <v>6.9105262541433454E-3</v>
      </c>
      <c r="BK20" s="580"/>
      <c r="BL20" s="158">
        <f>+BL8/BJ8-1</f>
        <v>5.4555817930135309E-3</v>
      </c>
      <c r="BM20" s="158">
        <f t="shared" ref="BM20:BO21" si="34">+BM8/BL8-1</f>
        <v>5.8309037900874383E-3</v>
      </c>
      <c r="BN20" s="158">
        <f t="shared" si="34"/>
        <v>2.6432022084196038E-2</v>
      </c>
      <c r="BO20" s="158">
        <f t="shared" si="34"/>
        <v>6.0420448687779071E-3</v>
      </c>
      <c r="BP20" s="580"/>
      <c r="BQ20" s="158">
        <f>+BQ8/BO8-1</f>
        <v>1.6149092675889376E-2</v>
      </c>
      <c r="BR20" s="158">
        <f t="shared" ref="BR20:BT21" si="35">+BR8/BQ8-1</f>
        <v>1.7165970600808933E-2</v>
      </c>
      <c r="BS20" s="158">
        <f t="shared" si="35"/>
        <v>3.0562650199907226E-2</v>
      </c>
      <c r="BT20" s="158">
        <f t="shared" si="35"/>
        <v>-1</v>
      </c>
      <c r="BU20" s="580"/>
      <c r="BV20" s="158" t="e">
        <f>+BV8/BT8-1</f>
        <v>#DIV/0!</v>
      </c>
      <c r="BW20" s="158" t="e">
        <f t="shared" ref="BW20:BY21" si="36">+BW8/BV8-1</f>
        <v>#DIV/0!</v>
      </c>
      <c r="BX20" s="158" t="e">
        <f t="shared" si="36"/>
        <v>#DIV/0!</v>
      </c>
      <c r="BY20" s="158" t="e">
        <f t="shared" si="36"/>
        <v>#DIV/0!</v>
      </c>
      <c r="BZ20" s="580"/>
    </row>
    <row r="21" spans="2:78" s="150" customFormat="1">
      <c r="B21" s="150" t="s">
        <v>436</v>
      </c>
      <c r="C21" s="159"/>
      <c r="D21" s="158"/>
      <c r="E21" s="158">
        <f t="shared" si="22"/>
        <v>5.7601375555237144E-2</v>
      </c>
      <c r="F21" s="158">
        <f t="shared" si="22"/>
        <v>-8.3999458068012567E-3</v>
      </c>
      <c r="G21" s="158">
        <f t="shared" si="22"/>
        <v>-2.6506353326957277E-2</v>
      </c>
      <c r="H21" s="158"/>
      <c r="I21" s="158">
        <f>+I9/G9-1</f>
        <v>5.4035087719298325E-2</v>
      </c>
      <c r="J21" s="158">
        <f t="shared" si="23"/>
        <v>4.6205059920106484E-2</v>
      </c>
      <c r="K21" s="158">
        <f t="shared" si="23"/>
        <v>6.8728522336769737E-2</v>
      </c>
      <c r="L21" s="158">
        <f t="shared" si="23"/>
        <v>3.763248779325945E-2</v>
      </c>
      <c r="M21" s="158"/>
      <c r="N21" s="158">
        <f>+N9/L9-1</f>
        <v>3.6267646046137969E-2</v>
      </c>
      <c r="O21" s="158">
        <f t="shared" si="24"/>
        <v>7.2322516336249754E-2</v>
      </c>
      <c r="P21" s="158">
        <f t="shared" si="24"/>
        <v>6.4862631687667927E-2</v>
      </c>
      <c r="Q21" s="158">
        <f t="shared" si="24"/>
        <v>7.9825412221144587E-2</v>
      </c>
      <c r="R21" s="158"/>
      <c r="S21" s="158">
        <f>+S9/Q9-1</f>
        <v>1.7066379232910656E-3</v>
      </c>
      <c r="T21" s="158">
        <f t="shared" si="25"/>
        <v>5.3353658536585469E-2</v>
      </c>
      <c r="U21" s="158">
        <f t="shared" si="25"/>
        <v>6.2058397888822725E-2</v>
      </c>
      <c r="V21" s="158">
        <f t="shared" si="25"/>
        <v>8.4081436357807071E-2</v>
      </c>
      <c r="W21" s="580"/>
      <c r="X21" s="158">
        <f>+X9/V9-1</f>
        <v>2.5138632162662322E-3</v>
      </c>
      <c r="Y21" s="158">
        <f t="shared" si="26"/>
        <v>5.2880005900140192E-2</v>
      </c>
      <c r="Z21" s="158">
        <f t="shared" si="26"/>
        <v>5.2255533762958883E-2</v>
      </c>
      <c r="AA21" s="158">
        <f t="shared" si="26"/>
        <v>2.0170416722140816E-2</v>
      </c>
      <c r="AB21" s="580"/>
      <c r="AC21" s="158">
        <f>+AC9/AA9-1</f>
        <v>2.1859706362153286E-2</v>
      </c>
      <c r="AD21" s="158">
        <f t="shared" si="27"/>
        <v>3.856960408684551E-2</v>
      </c>
      <c r="AE21" s="158">
        <f t="shared" si="27"/>
        <v>5.773487456960158E-2</v>
      </c>
      <c r="AF21" s="158">
        <f t="shared" si="27"/>
        <v>0.1056211125966402</v>
      </c>
      <c r="AG21" s="580"/>
      <c r="AH21" s="158">
        <f>+AH9/AF9-1</f>
        <v>8.1177707676130417E-2</v>
      </c>
      <c r="AI21" s="158">
        <f t="shared" si="28"/>
        <v>8.704532192180503E-2</v>
      </c>
      <c r="AJ21" s="158">
        <f t="shared" si="28"/>
        <v>8.8037935045182092E-2</v>
      </c>
      <c r="AK21" s="158">
        <f t="shared" si="28"/>
        <v>5.920565742948769E-2</v>
      </c>
      <c r="AL21" s="580"/>
      <c r="AM21" s="158">
        <f>+AM9/AK9-1</f>
        <v>3.7264187563077478E-2</v>
      </c>
      <c r="AN21" s="158">
        <f t="shared" si="29"/>
        <v>5.624578998577956E-2</v>
      </c>
      <c r="AO21" s="158">
        <f t="shared" si="29"/>
        <v>4.655447298494253E-2</v>
      </c>
      <c r="AP21" s="158">
        <f t="shared" si="29"/>
        <v>3.4767595382375838E-2</v>
      </c>
      <c r="AQ21" s="580"/>
      <c r="AR21" s="158">
        <f>+AR9/AP9-1</f>
        <v>2.4013609893345444E-2</v>
      </c>
      <c r="AS21" s="158">
        <f t="shared" si="30"/>
        <v>1.6453674121405859E-2</v>
      </c>
      <c r="AT21" s="158">
        <f t="shared" si="30"/>
        <v>6.6069464089266061E-2</v>
      </c>
      <c r="AU21" s="158">
        <f t="shared" si="30"/>
        <v>4.628947135654693E-2</v>
      </c>
      <c r="AV21" s="580"/>
      <c r="AW21" s="158">
        <f>+AW9/AU9-1</f>
        <v>3.2039901935920101E-2</v>
      </c>
      <c r="AX21" s="158">
        <f t="shared" si="31"/>
        <v>5.6984491044124175E-2</v>
      </c>
      <c r="AY21" s="158">
        <f t="shared" si="31"/>
        <v>6.7784350701351137E-2</v>
      </c>
      <c r="AZ21" s="158">
        <f t="shared" si="31"/>
        <v>5.7263820007257715E-2</v>
      </c>
      <c r="BA21" s="580"/>
      <c r="BB21" s="158">
        <f>+BB9/AZ9-1</f>
        <v>5.0752825957621983E-2</v>
      </c>
      <c r="BC21" s="158">
        <f t="shared" si="32"/>
        <v>5.150261324041816E-2</v>
      </c>
      <c r="BD21" s="158">
        <f t="shared" si="32"/>
        <v>4.2953298125711914E-2</v>
      </c>
      <c r="BE21" s="158">
        <f t="shared" si="32"/>
        <v>1.9186242776862317E-2</v>
      </c>
      <c r="BF21" s="580"/>
      <c r="BG21" s="158">
        <f>+BG9/BE9-1</f>
        <v>2.6143103192973305E-2</v>
      </c>
      <c r="BH21" s="158">
        <f t="shared" si="33"/>
        <v>3.0132720678982983E-2</v>
      </c>
      <c r="BI21" s="158">
        <f t="shared" si="33"/>
        <v>4.3591255944262164E-2</v>
      </c>
      <c r="BJ21" s="158">
        <f t="shared" si="33"/>
        <v>3.5041240572952548E-2</v>
      </c>
      <c r="BK21" s="580"/>
      <c r="BL21" s="158">
        <f>+BL9/BJ9-1</f>
        <v>1.3071003190962882E-2</v>
      </c>
      <c r="BM21" s="158">
        <f t="shared" si="34"/>
        <v>4.0408293890751068E-2</v>
      </c>
      <c r="BN21" s="158">
        <f t="shared" si="34"/>
        <v>4.6318482061909139E-2</v>
      </c>
      <c r="BO21" s="158">
        <f t="shared" si="34"/>
        <v>7.4035185443066975E-2</v>
      </c>
      <c r="BP21" s="580"/>
      <c r="BQ21" s="158">
        <f>+BQ9/BO9-1</f>
        <v>-1.0686920846597614E-2</v>
      </c>
      <c r="BR21" s="158">
        <f t="shared" si="35"/>
        <v>3.7817451071761488E-2</v>
      </c>
      <c r="BS21" s="158">
        <f t="shared" si="35"/>
        <v>4.1869536544640651E-2</v>
      </c>
      <c r="BT21" s="158">
        <f t="shared" si="35"/>
        <v>-1</v>
      </c>
      <c r="BU21" s="580"/>
      <c r="BV21" s="158" t="e">
        <f>+BV9/BT9-1</f>
        <v>#DIV/0!</v>
      </c>
      <c r="BW21" s="158" t="e">
        <f t="shared" si="36"/>
        <v>#DIV/0!</v>
      </c>
      <c r="BX21" s="158" t="e">
        <f t="shared" si="36"/>
        <v>#DIV/0!</v>
      </c>
      <c r="BY21" s="158" t="e">
        <f t="shared" si="36"/>
        <v>#DIV/0!</v>
      </c>
      <c r="BZ21" s="580"/>
    </row>
    <row r="22" spans="2:78" s="150" customFormat="1" ht="6" customHeight="1">
      <c r="B22" s="155"/>
      <c r="C22" s="159"/>
      <c r="D22" s="272"/>
      <c r="E22" s="272" t="s">
        <v>131</v>
      </c>
      <c r="F22" s="272" t="s">
        <v>131</v>
      </c>
      <c r="G22" s="272" t="s">
        <v>131</v>
      </c>
      <c r="H22" s="158"/>
      <c r="I22" s="272" t="s">
        <v>131</v>
      </c>
      <c r="J22" s="272" t="s">
        <v>131</v>
      </c>
      <c r="K22" s="272" t="s">
        <v>131</v>
      </c>
      <c r="L22" s="272" t="s">
        <v>131</v>
      </c>
      <c r="M22" s="158"/>
      <c r="N22" s="272" t="s">
        <v>131</v>
      </c>
      <c r="O22" s="272" t="s">
        <v>131</v>
      </c>
      <c r="P22" s="272" t="s">
        <v>131</v>
      </c>
      <c r="Q22" s="272" t="s">
        <v>131</v>
      </c>
      <c r="R22" s="158"/>
      <c r="S22" s="272" t="s">
        <v>131</v>
      </c>
      <c r="T22" s="272" t="s">
        <v>131</v>
      </c>
      <c r="U22" s="272" t="s">
        <v>131</v>
      </c>
      <c r="V22" s="272" t="s">
        <v>131</v>
      </c>
      <c r="W22" s="580"/>
      <c r="X22" s="272" t="s">
        <v>131</v>
      </c>
      <c r="Y22" s="272" t="s">
        <v>131</v>
      </c>
      <c r="Z22" s="272" t="s">
        <v>131</v>
      </c>
      <c r="AA22" s="272" t="s">
        <v>131</v>
      </c>
      <c r="AB22" s="580"/>
      <c r="AC22" s="272" t="s">
        <v>131</v>
      </c>
      <c r="AD22" s="272" t="s">
        <v>131</v>
      </c>
      <c r="AE22" s="272" t="s">
        <v>131</v>
      </c>
      <c r="AF22" s="272" t="s">
        <v>131</v>
      </c>
      <c r="AG22" s="580"/>
      <c r="AH22" s="272" t="s">
        <v>131</v>
      </c>
      <c r="AI22" s="272" t="s">
        <v>131</v>
      </c>
      <c r="AJ22" s="272" t="s">
        <v>131</v>
      </c>
      <c r="AK22" s="272" t="s">
        <v>131</v>
      </c>
      <c r="AL22" s="580"/>
      <c r="AM22" s="272" t="s">
        <v>131</v>
      </c>
      <c r="AN22" s="272" t="s">
        <v>131</v>
      </c>
      <c r="AO22" s="272" t="s">
        <v>131</v>
      </c>
      <c r="AP22" s="272" t="s">
        <v>131</v>
      </c>
      <c r="AQ22" s="580"/>
      <c r="AR22" s="272" t="s">
        <v>131</v>
      </c>
      <c r="AS22" s="272" t="s">
        <v>131</v>
      </c>
      <c r="AT22" s="272" t="s">
        <v>131</v>
      </c>
      <c r="AU22" s="272" t="s">
        <v>131</v>
      </c>
      <c r="AV22" s="580"/>
      <c r="AW22" s="272" t="s">
        <v>131</v>
      </c>
      <c r="AX22" s="272" t="s">
        <v>131</v>
      </c>
      <c r="AY22" s="272" t="s">
        <v>131</v>
      </c>
      <c r="AZ22" s="272" t="s">
        <v>131</v>
      </c>
      <c r="BA22" s="580"/>
      <c r="BB22" s="272" t="s">
        <v>131</v>
      </c>
      <c r="BC22" s="272" t="s">
        <v>131</v>
      </c>
      <c r="BD22" s="272" t="s">
        <v>131</v>
      </c>
      <c r="BE22" s="272" t="s">
        <v>131</v>
      </c>
      <c r="BF22" s="580"/>
      <c r="BG22" s="272" t="s">
        <v>131</v>
      </c>
      <c r="BH22" s="272" t="s">
        <v>131</v>
      </c>
      <c r="BI22" s="272" t="s">
        <v>131</v>
      </c>
      <c r="BJ22" s="272" t="s">
        <v>131</v>
      </c>
      <c r="BK22" s="580"/>
      <c r="BL22" s="272" t="s">
        <v>131</v>
      </c>
      <c r="BM22" s="272" t="s">
        <v>131</v>
      </c>
      <c r="BN22" s="272" t="s">
        <v>131</v>
      </c>
      <c r="BO22" s="272" t="s">
        <v>131</v>
      </c>
      <c r="BP22" s="580"/>
      <c r="BQ22" s="272" t="s">
        <v>131</v>
      </c>
      <c r="BR22" s="272" t="s">
        <v>131</v>
      </c>
      <c r="BS22" s="272" t="s">
        <v>131</v>
      </c>
      <c r="BT22" s="272" t="s">
        <v>131</v>
      </c>
      <c r="BU22" s="580"/>
      <c r="BV22" s="272" t="s">
        <v>131</v>
      </c>
      <c r="BW22" s="272" t="s">
        <v>131</v>
      </c>
      <c r="BX22" s="272" t="s">
        <v>131</v>
      </c>
      <c r="BY22" s="272" t="s">
        <v>131</v>
      </c>
      <c r="BZ22" s="580"/>
    </row>
    <row r="23" spans="2:78" s="150" customFormat="1">
      <c r="B23" s="150" t="s">
        <v>130</v>
      </c>
      <c r="C23" s="159"/>
      <c r="D23" s="158"/>
      <c r="E23" s="158">
        <f>+E11/D11-1</f>
        <v>4.7142654900665271E-2</v>
      </c>
      <c r="F23" s="158">
        <f>+F11/E11-1</f>
        <v>5.3717890941865631E-2</v>
      </c>
      <c r="G23" s="158">
        <f>+G11/F11-1</f>
        <v>5.4529124967924059E-2</v>
      </c>
      <c r="H23" s="158"/>
      <c r="I23" s="158">
        <f>+I11/G11-1</f>
        <v>9.1657541468954662E-3</v>
      </c>
      <c r="J23" s="158">
        <f>+J11/I11-1</f>
        <v>5.6584816943294536E-2</v>
      </c>
      <c r="K23" s="158">
        <f>+K11/J11-1</f>
        <v>5.5456239777870842E-2</v>
      </c>
      <c r="L23" s="158">
        <f>+L11/K11-1</f>
        <v>4.6488161735558142E-2</v>
      </c>
      <c r="M23" s="158"/>
      <c r="N23" s="158">
        <f>+N11/L11-1</f>
        <v>4.5352801405007082E-2</v>
      </c>
      <c r="O23" s="158">
        <f>+O11/N11-1</f>
        <v>6.4105942811964578E-2</v>
      </c>
      <c r="P23" s="158">
        <f>+P11/O11-1</f>
        <v>6.3339731285988465E-2</v>
      </c>
      <c r="Q23" s="158">
        <f>+Q11/P11-1</f>
        <v>6.4778153022009954E-2</v>
      </c>
      <c r="R23" s="158"/>
      <c r="S23" s="158">
        <f>+S11/Q11-1</f>
        <v>2.5155169113827203E-2</v>
      </c>
      <c r="T23" s="158">
        <f>+T11/S11-1</f>
        <v>6.3585202571146526E-2</v>
      </c>
      <c r="U23" s="158">
        <f>+U11/T11-1</f>
        <v>6.4999874614439346E-2</v>
      </c>
      <c r="V23" s="158">
        <f>+V11/U11-1</f>
        <v>4.6528055758317866E-2</v>
      </c>
      <c r="W23" s="580"/>
      <c r="X23" s="158">
        <f>+X11/V11-1</f>
        <v>4.0566992912588695E-2</v>
      </c>
      <c r="Y23" s="158">
        <f>+Y11/X11-1</f>
        <v>4.7958830652136353E-2</v>
      </c>
      <c r="Z23" s="158">
        <f>+Z11/Y11-1</f>
        <v>5.2015846160194723E-2</v>
      </c>
      <c r="AA23" s="158">
        <f>+AA11/Z11-1</f>
        <v>2.426108615921696E-2</v>
      </c>
      <c r="AB23" s="580"/>
      <c r="AC23" s="158">
        <f>+AC11/AA11-1</f>
        <v>1.7176011029411686E-2</v>
      </c>
      <c r="AD23" s="158">
        <f>+AD11/AC11-1</f>
        <v>4.1057209013384499E-2</v>
      </c>
      <c r="AE23" s="158">
        <f>+AE11/AD11-1</f>
        <v>7.5729630031463602E-2</v>
      </c>
      <c r="AF23" s="158">
        <f>+AF11/AE11-1</f>
        <v>5.7572701294335227E-2</v>
      </c>
      <c r="AG23" s="580"/>
      <c r="AH23" s="158">
        <f>+AH11/AF11-1</f>
        <v>3.1200826511960544E-2</v>
      </c>
      <c r="AI23" s="158">
        <f>+AI11/AH11-1</f>
        <v>5.0479361262677713E-2</v>
      </c>
      <c r="AJ23" s="158">
        <f>+AJ11/AI11-1</f>
        <v>5.1428403738646766E-2</v>
      </c>
      <c r="AK23" s="158">
        <f>+AK11/AJ11-1</f>
        <v>3.5474057327862907E-2</v>
      </c>
      <c r="AL23" s="580"/>
      <c r="AM23" s="158">
        <f>+AM11/AK11-1</f>
        <v>1.5404312668463538E-2</v>
      </c>
      <c r="AN23" s="158">
        <f>+AN11/AM11-1</f>
        <v>4.7595662503484126E-2</v>
      </c>
      <c r="AO23" s="158">
        <f>+AO11/AN11-1</f>
        <v>4.740969732291056E-2</v>
      </c>
      <c r="AP23" s="158">
        <f>+AP11/AO11-1</f>
        <v>2.410760726252259E-2</v>
      </c>
      <c r="AQ23" s="580"/>
      <c r="AR23" s="158">
        <f>+AR11/AP11-1</f>
        <v>1.8886421619578542E-2</v>
      </c>
      <c r="AS23" s="158">
        <f>+AS11/AR11-1</f>
        <v>2.9757833601891992E-2</v>
      </c>
      <c r="AT23" s="158">
        <f>+AT11/AS11-1</f>
        <v>4.7720364741641319E-2</v>
      </c>
      <c r="AU23" s="158">
        <f>+AU11/AT11-1</f>
        <v>1.8609848606947477E-2</v>
      </c>
      <c r="AV23" s="580"/>
      <c r="AW23" s="158">
        <f>+AW11/AU11-1</f>
        <v>2.0622145336019582E-2</v>
      </c>
      <c r="AX23" s="158">
        <f>+AX11/AW11-1</f>
        <v>3.0447724172144364E-2</v>
      </c>
      <c r="AY23" s="158">
        <f>+AY11/AX11-1</f>
        <v>5.2476379611241519E-2</v>
      </c>
      <c r="AZ23" s="158">
        <f>+AZ11/AY11-1</f>
        <v>4.6181409266777163E-2</v>
      </c>
      <c r="BA23" s="580"/>
      <c r="BB23" s="158">
        <f>+BB11/AZ11-1</f>
        <v>3.3157223537985114E-2</v>
      </c>
      <c r="BC23" s="158">
        <f>+BC11/BB11-1</f>
        <v>5.7071063304531933E-2</v>
      </c>
      <c r="BD23" s="158">
        <f>+BD11/BC11-1</f>
        <v>4.7275487309517583E-2</v>
      </c>
      <c r="BE23" s="158">
        <f>+BE11/BD11-1</f>
        <v>4.2114987934151582E-2</v>
      </c>
      <c r="BF23" s="580"/>
      <c r="BG23" s="158">
        <f>+BG11/BE11-1</f>
        <v>-1.2686378955896194E-3</v>
      </c>
      <c r="BH23" s="158">
        <f>+BH11/BG11-1</f>
        <v>4.9937635346602116E-2</v>
      </c>
      <c r="BI23" s="158">
        <f>+BI11/BH11-1</f>
        <v>3.4888381957451697E-2</v>
      </c>
      <c r="BJ23" s="158">
        <f>+BJ11/BI11-1</f>
        <v>1.812727119073787E-2</v>
      </c>
      <c r="BK23" s="580"/>
      <c r="BL23" s="158">
        <f>+BL11/BJ11-1</f>
        <v>8.5425745313689738E-3</v>
      </c>
      <c r="BM23" s="158">
        <f>+BM11/BL11-1</f>
        <v>1.991015397277196E-2</v>
      </c>
      <c r="BN23" s="158">
        <f>+BN11/BM11-1</f>
        <v>3.4692148371304743E-2</v>
      </c>
      <c r="BO23" s="158">
        <f>+BO11/BN11-1</f>
        <v>3.4601311522288514E-2</v>
      </c>
      <c r="BP23" s="580"/>
      <c r="BQ23" s="158">
        <f>+BQ11/BO11-1</f>
        <v>4.4474876092244209E-3</v>
      </c>
      <c r="BR23" s="158">
        <f>+BR11/BQ11-1</f>
        <v>2.603518471034838E-2</v>
      </c>
      <c r="BS23" s="158">
        <f>+BS11/BR11-1</f>
        <v>3.5474393826724127E-2</v>
      </c>
      <c r="BT23" s="158">
        <f>+BT11/BS11-1</f>
        <v>-1</v>
      </c>
      <c r="BU23" s="580"/>
      <c r="BV23" s="158" t="e">
        <f>+BV11/BT11-1</f>
        <v>#DIV/0!</v>
      </c>
      <c r="BW23" s="158" t="e">
        <f>+BW11/BV11-1</f>
        <v>#DIV/0!</v>
      </c>
      <c r="BX23" s="158" t="e">
        <f>+BX11/BW11-1</f>
        <v>#DIV/0!</v>
      </c>
      <c r="BY23" s="158" t="e">
        <f>+BY11/BX11-1</f>
        <v>#DIV/0!</v>
      </c>
      <c r="BZ23" s="580"/>
    </row>
    <row r="24" spans="2:78" s="150" customFormat="1" ht="13.15">
      <c r="B24" s="151"/>
      <c r="C24" s="152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7"/>
      <c r="U24" s="157"/>
      <c r="V24" s="157"/>
      <c r="W24" s="579"/>
      <c r="X24" s="153"/>
      <c r="Y24" s="157"/>
      <c r="Z24" s="157"/>
      <c r="AA24" s="157"/>
      <c r="AB24" s="579"/>
      <c r="AC24" s="153"/>
      <c r="AD24" s="157"/>
      <c r="AE24" s="157"/>
      <c r="AF24" s="157"/>
      <c r="AG24" s="579"/>
      <c r="AH24" s="153"/>
      <c r="AI24" s="157"/>
      <c r="AJ24" s="157"/>
      <c r="AK24" s="157"/>
      <c r="AL24" s="579"/>
      <c r="AM24" s="153"/>
      <c r="AN24" s="157"/>
      <c r="AO24" s="157"/>
      <c r="AP24" s="157"/>
      <c r="AQ24" s="579"/>
      <c r="AR24" s="153"/>
      <c r="AS24" s="157"/>
      <c r="AT24" s="157"/>
      <c r="AU24" s="157"/>
      <c r="AV24" s="579"/>
      <c r="AW24" s="153"/>
      <c r="AX24" s="157"/>
      <c r="AY24" s="157"/>
      <c r="AZ24" s="157"/>
      <c r="BA24" s="579"/>
      <c r="BB24" s="153"/>
      <c r="BC24" s="157"/>
      <c r="BD24" s="157"/>
      <c r="BE24" s="157"/>
      <c r="BF24" s="579"/>
      <c r="BG24" s="153"/>
      <c r="BH24" s="157"/>
      <c r="BI24" s="157"/>
      <c r="BJ24" s="157"/>
      <c r="BK24" s="579"/>
      <c r="BL24" s="153"/>
      <c r="BM24" s="157"/>
      <c r="BN24" s="157"/>
      <c r="BO24" s="157"/>
      <c r="BP24" s="579"/>
      <c r="BQ24" s="153"/>
      <c r="BR24" s="157"/>
      <c r="BS24" s="157"/>
      <c r="BT24" s="157"/>
      <c r="BU24" s="579"/>
      <c r="BV24" s="153"/>
      <c r="BW24" s="157"/>
      <c r="BX24" s="157"/>
      <c r="BY24" s="157"/>
      <c r="BZ24" s="579"/>
    </row>
    <row r="25" spans="2:78" s="150" customFormat="1" ht="13.15">
      <c r="B25" s="151" t="s">
        <v>515</v>
      </c>
      <c r="C25" s="152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580"/>
      <c r="X25" s="158"/>
      <c r="Y25" s="158"/>
      <c r="Z25" s="158"/>
      <c r="AA25" s="158"/>
      <c r="AB25" s="580"/>
      <c r="AC25" s="158"/>
      <c r="AD25" s="158"/>
      <c r="AE25" s="158"/>
      <c r="AF25" s="158"/>
      <c r="AG25" s="580"/>
      <c r="AH25" s="158"/>
      <c r="AI25" s="158"/>
      <c r="AJ25" s="158"/>
      <c r="AK25" s="158"/>
      <c r="AL25" s="580"/>
      <c r="AM25" s="158"/>
      <c r="AN25" s="158"/>
      <c r="AO25" s="158"/>
      <c r="AP25" s="158"/>
      <c r="AQ25" s="580"/>
      <c r="AR25" s="158"/>
      <c r="AS25" s="158"/>
      <c r="AT25" s="158"/>
      <c r="AU25" s="158"/>
      <c r="AV25" s="580"/>
      <c r="AW25" s="158"/>
      <c r="AX25" s="158"/>
      <c r="AY25" s="158"/>
      <c r="AZ25" s="158"/>
      <c r="BA25" s="580"/>
      <c r="BB25" s="158"/>
      <c r="BC25" s="158"/>
      <c r="BD25" s="158"/>
      <c r="BE25" s="158"/>
      <c r="BF25" s="580"/>
      <c r="BG25" s="158"/>
      <c r="BH25" s="158"/>
      <c r="BI25" s="158"/>
      <c r="BJ25" s="158"/>
      <c r="BK25" s="580"/>
      <c r="BL25" s="158"/>
      <c r="BM25" s="158"/>
      <c r="BN25" s="158"/>
      <c r="BO25" s="158"/>
      <c r="BP25" s="580"/>
      <c r="BQ25" s="158"/>
      <c r="BR25" s="158"/>
      <c r="BS25" s="158"/>
      <c r="BT25" s="158"/>
      <c r="BU25" s="580"/>
      <c r="BV25" s="158"/>
      <c r="BW25" s="158"/>
      <c r="BX25" s="158"/>
      <c r="BY25" s="158"/>
      <c r="BZ25" s="580"/>
    </row>
    <row r="26" spans="2:78" s="150" customFormat="1">
      <c r="B26" s="150" t="s">
        <v>186</v>
      </c>
      <c r="C26" s="159"/>
      <c r="D26" s="158">
        <f t="shared" ref="D26:AI26" si="37">+D8/D34</f>
        <v>0.67066207352177809</v>
      </c>
      <c r="E26" s="158">
        <f t="shared" si="37"/>
        <v>0.6673726904010816</v>
      </c>
      <c r="F26" s="158">
        <f t="shared" si="37"/>
        <v>0.68698143871354034</v>
      </c>
      <c r="G26" s="158">
        <f t="shared" si="37"/>
        <v>0.71103540576712498</v>
      </c>
      <c r="H26" s="158">
        <f t="shared" si="37"/>
        <v>0.6849267118792387</v>
      </c>
      <c r="I26" s="158">
        <f t="shared" si="37"/>
        <v>0.69818751758228514</v>
      </c>
      <c r="J26" s="158">
        <f t="shared" si="37"/>
        <v>0.70115248564147425</v>
      </c>
      <c r="K26" s="158">
        <f t="shared" si="37"/>
        <v>0.69739450070272802</v>
      </c>
      <c r="L26" s="158">
        <f t="shared" si="37"/>
        <v>0.69995523261820281</v>
      </c>
      <c r="M26" s="158">
        <f t="shared" si="37"/>
        <v>0.69918119338285689</v>
      </c>
      <c r="N26" s="158">
        <f t="shared" si="37"/>
        <v>0.70256292001581233</v>
      </c>
      <c r="O26" s="158">
        <f t="shared" si="37"/>
        <v>0.70026623738468208</v>
      </c>
      <c r="P26" s="158">
        <f t="shared" si="37"/>
        <v>0.69983696285082098</v>
      </c>
      <c r="Q26" s="158">
        <f t="shared" si="37"/>
        <v>0.69559511114756789</v>
      </c>
      <c r="R26" s="158">
        <f t="shared" si="37"/>
        <v>0.69939885760486309</v>
      </c>
      <c r="S26" s="158">
        <f t="shared" si="37"/>
        <v>0.70255781079134771</v>
      </c>
      <c r="T26" s="158">
        <f t="shared" si="37"/>
        <v>0.70541916392908188</v>
      </c>
      <c r="U26" s="158">
        <f t="shared" si="37"/>
        <v>0.70623278155831315</v>
      </c>
      <c r="V26" s="158">
        <f t="shared" si="37"/>
        <v>0.69569130385870181</v>
      </c>
      <c r="W26" s="580">
        <f t="shared" si="37"/>
        <v>0.70234472011881866</v>
      </c>
      <c r="X26" s="158">
        <f t="shared" si="37"/>
        <v>0.70681975436775646</v>
      </c>
      <c r="Y26" s="158">
        <f t="shared" si="37"/>
        <v>0.70544299096273677</v>
      </c>
      <c r="Z26" s="158">
        <f t="shared" si="37"/>
        <v>0.7053758801263067</v>
      </c>
      <c r="AA26" s="158">
        <f t="shared" si="37"/>
        <v>0.70655254289215685</v>
      </c>
      <c r="AB26" s="580">
        <f t="shared" si="37"/>
        <v>0.70604016672982195</v>
      </c>
      <c r="AC26" s="158">
        <f t="shared" si="37"/>
        <v>0.70520133280623487</v>
      </c>
      <c r="AD26" s="158">
        <f t="shared" si="37"/>
        <v>0.70590575386061982</v>
      </c>
      <c r="AE26" s="158">
        <f t="shared" si="37"/>
        <v>0.71082534879811732</v>
      </c>
      <c r="AF26" s="158">
        <f t="shared" si="37"/>
        <v>0.69768735595644915</v>
      </c>
      <c r="AG26" s="580">
        <f t="shared" si="37"/>
        <v>0.70477151818670181</v>
      </c>
      <c r="AH26" s="158">
        <f t="shared" si="37"/>
        <v>0.68303585190665561</v>
      </c>
      <c r="AI26" s="158">
        <f t="shared" si="37"/>
        <v>0.67200269980778538</v>
      </c>
      <c r="AJ26" s="158">
        <v>0.7</v>
      </c>
      <c r="AK26" s="158">
        <f t="shared" ref="AK26:BE26" si="38">+AK8/AK34</f>
        <v>0.6528032345013477</v>
      </c>
      <c r="AL26" s="580">
        <f t="shared" si="38"/>
        <v>0.66652682608492986</v>
      </c>
      <c r="AM26" s="158">
        <f t="shared" si="38"/>
        <v>0.64532869676015026</v>
      </c>
      <c r="AN26" s="158">
        <f t="shared" si="38"/>
        <v>0.64240013176399047</v>
      </c>
      <c r="AO26" s="158">
        <f t="shared" si="38"/>
        <v>0.64269211694548267</v>
      </c>
      <c r="AP26" s="158">
        <f t="shared" si="38"/>
        <v>0.63897288103562322</v>
      </c>
      <c r="AQ26" s="580">
        <f t="shared" si="38"/>
        <v>0.64225903043155153</v>
      </c>
      <c r="AR26" s="158">
        <f t="shared" si="38"/>
        <v>0.63715613878487876</v>
      </c>
      <c r="AS26" s="158">
        <f t="shared" si="38"/>
        <v>0.64184397163120566</v>
      </c>
      <c r="AT26" s="158">
        <f t="shared" si="38"/>
        <v>0.63557145773565848</v>
      </c>
      <c r="AU26" s="158">
        <f t="shared" si="38"/>
        <v>0.62566850560648091</v>
      </c>
      <c r="AV26" s="580">
        <f t="shared" si="38"/>
        <v>0.63489666990850302</v>
      </c>
      <c r="AW26" s="158">
        <f t="shared" si="38"/>
        <v>0.62148083839761881</v>
      </c>
      <c r="AX26" s="158">
        <f t="shared" si="38"/>
        <v>0.61173296423341561</v>
      </c>
      <c r="AY26" s="158">
        <f t="shared" si="38"/>
        <v>0.60608573007795374</v>
      </c>
      <c r="AZ26" s="158">
        <f t="shared" si="38"/>
        <v>0.60191291674257608</v>
      </c>
      <c r="BA26" s="580">
        <f t="shared" si="38"/>
        <v>0.60996371348243561</v>
      </c>
      <c r="BB26" s="158">
        <f t="shared" si="38"/>
        <v>0.5951331334861576</v>
      </c>
      <c r="BC26" s="158">
        <f t="shared" si="38"/>
        <v>0.59726589542341924</v>
      </c>
      <c r="BD26" s="158">
        <f t="shared" si="38"/>
        <v>0.59892801108624494</v>
      </c>
      <c r="BE26" s="158">
        <f t="shared" si="38"/>
        <v>0.6077524474776268</v>
      </c>
      <c r="BF26" s="580">
        <v>0.6</v>
      </c>
      <c r="BG26" s="158">
        <f t="shared" ref="BG26:BO26" si="39">+BG8/BG34</f>
        <v>0.5969866011646503</v>
      </c>
      <c r="BH26" s="158">
        <f t="shared" si="39"/>
        <v>0.60458862028001081</v>
      </c>
      <c r="BI26" s="158">
        <f t="shared" si="39"/>
        <v>0.60126341587086962</v>
      </c>
      <c r="BJ26" s="158">
        <f t="shared" si="39"/>
        <v>0.59463927509165115</v>
      </c>
      <c r="BK26" s="580">
        <f t="shared" si="39"/>
        <v>0.59935107798967635</v>
      </c>
      <c r="BL26" s="158">
        <f t="shared" si="39"/>
        <v>0.59281917629710912</v>
      </c>
      <c r="BM26" s="158">
        <f t="shared" si="39"/>
        <v>0.58463566183392957</v>
      </c>
      <c r="BN26" s="158">
        <f t="shared" si="39"/>
        <v>0.57996841427986512</v>
      </c>
      <c r="BO26" s="158">
        <f t="shared" si="39"/>
        <v>0.56395889214842543</v>
      </c>
      <c r="BP26" s="580">
        <v>0.57999999999999996</v>
      </c>
      <c r="BQ26" s="158">
        <f>+BQ8/BQ34</f>
        <v>0.57052889636583093</v>
      </c>
      <c r="BR26" s="158">
        <f>+BR8/BR34</f>
        <v>0.56559715229608321</v>
      </c>
      <c r="BS26" s="158">
        <f>+BS8/BS34</f>
        <v>0.56291425813211526</v>
      </c>
      <c r="BT26" s="158">
        <f>+BT8/BT34</f>
        <v>0</v>
      </c>
      <c r="BU26" s="580"/>
      <c r="BV26" s="158">
        <f>+BV8/BV34</f>
        <v>0</v>
      </c>
      <c r="BW26" s="158">
        <f>+BW8/BW34</f>
        <v>0</v>
      </c>
      <c r="BX26" s="158">
        <f>+BX8/BX34</f>
        <v>0</v>
      </c>
      <c r="BY26" s="158">
        <f>+BY8/BY34</f>
        <v>0</v>
      </c>
      <c r="BZ26" s="580"/>
    </row>
    <row r="27" spans="2:78" s="150" customFormat="1">
      <c r="B27" s="150" t="s">
        <v>436</v>
      </c>
      <c r="C27" s="159"/>
      <c r="D27" s="158">
        <f t="shared" ref="D27:AI27" si="40">+D9/D34</f>
        <v>0.32933792647822191</v>
      </c>
      <c r="E27" s="158">
        <f t="shared" si="40"/>
        <v>0.33262730959891845</v>
      </c>
      <c r="F27" s="158">
        <f t="shared" si="40"/>
        <v>0.31301856128645966</v>
      </c>
      <c r="G27" s="158">
        <f t="shared" si="40"/>
        <v>0.28896459423287507</v>
      </c>
      <c r="H27" s="158">
        <f t="shared" si="40"/>
        <v>0.3150732881207613</v>
      </c>
      <c r="I27" s="158">
        <f t="shared" si="40"/>
        <v>0.30181248241771491</v>
      </c>
      <c r="J27" s="158">
        <f t="shared" si="40"/>
        <v>0.29884751435852575</v>
      </c>
      <c r="K27" s="158">
        <f t="shared" si="40"/>
        <v>0.30260549929727198</v>
      </c>
      <c r="L27" s="158">
        <f t="shared" si="40"/>
        <v>0.30004476738179681</v>
      </c>
      <c r="M27" s="158">
        <f t="shared" si="40"/>
        <v>0.30081880661714305</v>
      </c>
      <c r="N27" s="158">
        <f t="shared" si="40"/>
        <v>0.29743707998418761</v>
      </c>
      <c r="O27" s="158">
        <f t="shared" si="40"/>
        <v>0.29973376261531792</v>
      </c>
      <c r="P27" s="158">
        <f t="shared" si="40"/>
        <v>0.30016303714917897</v>
      </c>
      <c r="Q27" s="158">
        <f t="shared" si="40"/>
        <v>0.30440488885243211</v>
      </c>
      <c r="R27" s="158">
        <f t="shared" si="40"/>
        <v>0.30060114239513697</v>
      </c>
      <c r="S27" s="158">
        <f t="shared" si="40"/>
        <v>0.29744218920865229</v>
      </c>
      <c r="T27" s="158">
        <f t="shared" si="40"/>
        <v>0.29458083607091806</v>
      </c>
      <c r="U27" s="158">
        <f t="shared" si="40"/>
        <v>0.29376721844168685</v>
      </c>
      <c r="V27" s="158">
        <f t="shared" si="40"/>
        <v>0.30430869614129824</v>
      </c>
      <c r="W27" s="580">
        <f t="shared" si="40"/>
        <v>0.29765527988118134</v>
      </c>
      <c r="X27" s="158">
        <f t="shared" si="40"/>
        <v>0.29318024563224354</v>
      </c>
      <c r="Y27" s="158">
        <f t="shared" si="40"/>
        <v>0.29455700903726323</v>
      </c>
      <c r="Z27" s="158">
        <f t="shared" si="40"/>
        <v>0.2946241198736933</v>
      </c>
      <c r="AA27" s="158">
        <f t="shared" si="40"/>
        <v>0.29344745710784315</v>
      </c>
      <c r="AB27" s="580">
        <f t="shared" si="40"/>
        <v>0.29395983327017811</v>
      </c>
      <c r="AC27" s="158">
        <f t="shared" si="40"/>
        <v>0.29479866719376518</v>
      </c>
      <c r="AD27" s="158">
        <f t="shared" si="40"/>
        <v>0.29409424613938012</v>
      </c>
      <c r="AE27" s="158">
        <f t="shared" si="40"/>
        <v>0.28917465120188268</v>
      </c>
      <c r="AF27" s="158">
        <f t="shared" si="40"/>
        <v>0.30231264404355085</v>
      </c>
      <c r="AG27" s="580">
        <f t="shared" si="40"/>
        <v>0.29522848181329819</v>
      </c>
      <c r="AH27" s="158">
        <f t="shared" si="40"/>
        <v>0.31696414809334444</v>
      </c>
      <c r="AI27" s="158">
        <f t="shared" si="40"/>
        <v>0.32799730019221457</v>
      </c>
      <c r="AJ27" s="158">
        <v>0.3</v>
      </c>
      <c r="AK27" s="158">
        <f t="shared" ref="AK27:BE27" si="41">+AK9/AK34</f>
        <v>0.3471967654986523</v>
      </c>
      <c r="AL27" s="580">
        <f t="shared" si="41"/>
        <v>0.33347317391507014</v>
      </c>
      <c r="AM27" s="158">
        <f t="shared" si="41"/>
        <v>0.35467130323984974</v>
      </c>
      <c r="AN27" s="158">
        <f t="shared" si="41"/>
        <v>0.35759986823600959</v>
      </c>
      <c r="AO27" s="158">
        <f t="shared" si="41"/>
        <v>0.35730788305451733</v>
      </c>
      <c r="AP27" s="158">
        <f t="shared" si="41"/>
        <v>0.36102711896437684</v>
      </c>
      <c r="AQ27" s="580">
        <f t="shared" si="41"/>
        <v>0.35774096956844847</v>
      </c>
      <c r="AR27" s="158">
        <f t="shared" si="41"/>
        <v>0.36284386121512119</v>
      </c>
      <c r="AS27" s="158">
        <f t="shared" si="41"/>
        <v>0.35815602836879434</v>
      </c>
      <c r="AT27" s="158">
        <f t="shared" si="41"/>
        <v>0.36442854226434152</v>
      </c>
      <c r="AU27" s="158">
        <f t="shared" si="41"/>
        <v>0.37433149439351904</v>
      </c>
      <c r="AV27" s="580">
        <f t="shared" si="41"/>
        <v>0.36510333009149692</v>
      </c>
      <c r="AW27" s="158">
        <f t="shared" si="41"/>
        <v>0.37851916160238125</v>
      </c>
      <c r="AX27" s="158">
        <f t="shared" si="41"/>
        <v>0.38826703576658445</v>
      </c>
      <c r="AY27" s="158">
        <f t="shared" si="41"/>
        <v>0.39391426992204626</v>
      </c>
      <c r="AZ27" s="158">
        <f t="shared" si="41"/>
        <v>0.39808708325742392</v>
      </c>
      <c r="BA27" s="580">
        <f t="shared" si="41"/>
        <v>0.39003628651756445</v>
      </c>
      <c r="BB27" s="158">
        <f t="shared" si="41"/>
        <v>0.40486686651384235</v>
      </c>
      <c r="BC27" s="158">
        <f t="shared" si="41"/>
        <v>0.40273410457658076</v>
      </c>
      <c r="BD27" s="158">
        <f t="shared" si="41"/>
        <v>0.40107198891375506</v>
      </c>
      <c r="BE27" s="158">
        <f t="shared" si="41"/>
        <v>0.3922475525223732</v>
      </c>
      <c r="BF27" s="580">
        <v>0.4</v>
      </c>
      <c r="BG27" s="158">
        <f t="shared" ref="BG27:BO27" si="42">+BG9/BG34</f>
        <v>0.40301339883534965</v>
      </c>
      <c r="BH27" s="158">
        <f t="shared" si="42"/>
        <v>0.39541137971998919</v>
      </c>
      <c r="BI27" s="158">
        <f t="shared" si="42"/>
        <v>0.39873658412913038</v>
      </c>
      <c r="BJ27" s="158">
        <f t="shared" si="42"/>
        <v>0.4053607249083489</v>
      </c>
      <c r="BK27" s="580">
        <f t="shared" si="42"/>
        <v>0.40064892201032359</v>
      </c>
      <c r="BL27" s="158">
        <f t="shared" si="42"/>
        <v>0.40718082370289083</v>
      </c>
      <c r="BM27" s="158">
        <f t="shared" si="42"/>
        <v>0.41536433816607043</v>
      </c>
      <c r="BN27" s="158">
        <f t="shared" si="42"/>
        <v>0.42003158572013494</v>
      </c>
      <c r="BO27" s="158">
        <f t="shared" si="42"/>
        <v>0.43604110785157441</v>
      </c>
      <c r="BP27" s="580">
        <v>0.42</v>
      </c>
      <c r="BQ27" s="158">
        <f>+BQ9/BQ34</f>
        <v>0.42947110363416907</v>
      </c>
      <c r="BR27" s="158">
        <f>+BR9/BR34</f>
        <v>0.43440284770391679</v>
      </c>
      <c r="BS27" s="158">
        <f>+BS9/BS34</f>
        <v>0.43708574186788479</v>
      </c>
      <c r="BT27" s="158">
        <f>+BT9/BT34</f>
        <v>0</v>
      </c>
      <c r="BU27" s="580"/>
      <c r="BV27" s="158">
        <f>+BV9/BV34</f>
        <v>0</v>
      </c>
      <c r="BW27" s="158">
        <f>+BW9/BW34</f>
        <v>0</v>
      </c>
      <c r="BX27" s="158">
        <f>+BX9/BX34</f>
        <v>0</v>
      </c>
      <c r="BY27" s="158">
        <f>+BY9/BY34</f>
        <v>0</v>
      </c>
      <c r="BZ27" s="580"/>
    </row>
    <row r="28" spans="2:78" s="150" customFormat="1" ht="8.25" customHeight="1">
      <c r="B28" s="155"/>
      <c r="C28" s="160"/>
      <c r="D28" s="272" t="s">
        <v>131</v>
      </c>
      <c r="E28" s="272" t="s">
        <v>131</v>
      </c>
      <c r="F28" s="272" t="s">
        <v>131</v>
      </c>
      <c r="G28" s="272" t="s">
        <v>131</v>
      </c>
      <c r="H28" s="272" t="s">
        <v>131</v>
      </c>
      <c r="I28" s="272" t="s">
        <v>131</v>
      </c>
      <c r="J28" s="272" t="s">
        <v>131</v>
      </c>
      <c r="K28" s="272" t="s">
        <v>131</v>
      </c>
      <c r="L28" s="272" t="s">
        <v>131</v>
      </c>
      <c r="M28" s="272" t="s">
        <v>131</v>
      </c>
      <c r="N28" s="272" t="s">
        <v>131</v>
      </c>
      <c r="O28" s="272" t="s">
        <v>131</v>
      </c>
      <c r="P28" s="272" t="s">
        <v>131</v>
      </c>
      <c r="Q28" s="272" t="s">
        <v>131</v>
      </c>
      <c r="R28" s="272" t="s">
        <v>131</v>
      </c>
      <c r="S28" s="272" t="s">
        <v>131</v>
      </c>
      <c r="T28" s="272" t="s">
        <v>131</v>
      </c>
      <c r="U28" s="272" t="s">
        <v>131</v>
      </c>
      <c r="V28" s="272" t="s">
        <v>131</v>
      </c>
      <c r="W28" s="581" t="s">
        <v>131</v>
      </c>
      <c r="X28" s="272" t="s">
        <v>131</v>
      </c>
      <c r="Y28" s="272" t="s">
        <v>131</v>
      </c>
      <c r="Z28" s="272" t="s">
        <v>131</v>
      </c>
      <c r="AA28" s="272" t="s">
        <v>131</v>
      </c>
      <c r="AB28" s="581" t="s">
        <v>131</v>
      </c>
      <c r="AC28" s="272" t="s">
        <v>131</v>
      </c>
      <c r="AD28" s="272" t="s">
        <v>131</v>
      </c>
      <c r="AE28" s="272" t="s">
        <v>131</v>
      </c>
      <c r="AF28" s="272" t="s">
        <v>131</v>
      </c>
      <c r="AG28" s="581" t="s">
        <v>131</v>
      </c>
      <c r="AH28" s="272" t="s">
        <v>131</v>
      </c>
      <c r="AI28" s="272" t="s">
        <v>131</v>
      </c>
      <c r="AJ28" s="272" t="s">
        <v>131</v>
      </c>
      <c r="AK28" s="272" t="s">
        <v>131</v>
      </c>
      <c r="AL28" s="581" t="s">
        <v>131</v>
      </c>
      <c r="AM28" s="272" t="s">
        <v>131</v>
      </c>
      <c r="AN28" s="272" t="s">
        <v>131</v>
      </c>
      <c r="AO28" s="272" t="s">
        <v>131</v>
      </c>
      <c r="AP28" s="272" t="s">
        <v>131</v>
      </c>
      <c r="AQ28" s="581" t="s">
        <v>131</v>
      </c>
      <c r="AR28" s="272" t="s">
        <v>131</v>
      </c>
      <c r="AS28" s="272" t="s">
        <v>131</v>
      </c>
      <c r="AT28" s="272" t="s">
        <v>131</v>
      </c>
      <c r="AU28" s="272" t="s">
        <v>131</v>
      </c>
      <c r="AV28" s="581" t="s">
        <v>131</v>
      </c>
      <c r="AW28" s="272" t="s">
        <v>131</v>
      </c>
      <c r="AX28" s="272" t="s">
        <v>131</v>
      </c>
      <c r="AY28" s="272" t="s">
        <v>131</v>
      </c>
      <c r="AZ28" s="272" t="s">
        <v>131</v>
      </c>
      <c r="BA28" s="581" t="s">
        <v>131</v>
      </c>
      <c r="BB28" s="272" t="s">
        <v>131</v>
      </c>
      <c r="BC28" s="272" t="s">
        <v>131</v>
      </c>
      <c r="BD28" s="272" t="s">
        <v>131</v>
      </c>
      <c r="BE28" s="272" t="s">
        <v>131</v>
      </c>
      <c r="BF28" s="581" t="s">
        <v>131</v>
      </c>
      <c r="BG28" s="272" t="s">
        <v>131</v>
      </c>
      <c r="BH28" s="272" t="s">
        <v>131</v>
      </c>
      <c r="BI28" s="272" t="s">
        <v>131</v>
      </c>
      <c r="BJ28" s="272" t="s">
        <v>131</v>
      </c>
      <c r="BK28" s="581" t="s">
        <v>131</v>
      </c>
      <c r="BL28" s="272" t="s">
        <v>131</v>
      </c>
      <c r="BM28" s="272" t="s">
        <v>131</v>
      </c>
      <c r="BN28" s="272" t="s">
        <v>131</v>
      </c>
      <c r="BO28" s="272" t="s">
        <v>131</v>
      </c>
      <c r="BP28" s="581" t="s">
        <v>131</v>
      </c>
      <c r="BQ28" s="272" t="s">
        <v>131</v>
      </c>
      <c r="BR28" s="272" t="s">
        <v>131</v>
      </c>
      <c r="BS28" s="272" t="s">
        <v>131</v>
      </c>
      <c r="BT28" s="272" t="s">
        <v>131</v>
      </c>
      <c r="BU28" s="581" t="s">
        <v>131</v>
      </c>
      <c r="BV28" s="272" t="s">
        <v>131</v>
      </c>
      <c r="BW28" s="272" t="s">
        <v>131</v>
      </c>
      <c r="BX28" s="272" t="s">
        <v>131</v>
      </c>
      <c r="BY28" s="272" t="s">
        <v>131</v>
      </c>
      <c r="BZ28" s="581" t="s">
        <v>131</v>
      </c>
    </row>
    <row r="29" spans="2:78" s="150" customFormat="1">
      <c r="B29" s="150" t="s">
        <v>130</v>
      </c>
      <c r="C29" s="159"/>
      <c r="D29" s="158">
        <f t="shared" ref="D29:H29" si="43">+D26+D27</f>
        <v>1</v>
      </c>
      <c r="E29" s="158">
        <f t="shared" si="43"/>
        <v>1</v>
      </c>
      <c r="F29" s="158">
        <f t="shared" si="43"/>
        <v>1</v>
      </c>
      <c r="G29" s="158">
        <f t="shared" si="43"/>
        <v>1</v>
      </c>
      <c r="H29" s="158">
        <f t="shared" si="43"/>
        <v>1</v>
      </c>
      <c r="I29" s="158">
        <f t="shared" ref="I29:M29" si="44">+I26+I27</f>
        <v>1</v>
      </c>
      <c r="J29" s="158">
        <f t="shared" si="44"/>
        <v>1</v>
      </c>
      <c r="K29" s="158">
        <f t="shared" si="44"/>
        <v>1</v>
      </c>
      <c r="L29" s="158">
        <f t="shared" si="44"/>
        <v>0.99999999999999956</v>
      </c>
      <c r="M29" s="158">
        <f t="shared" si="44"/>
        <v>1</v>
      </c>
      <c r="N29" s="158">
        <f t="shared" ref="N29" si="45">+N26+N27</f>
        <v>1</v>
      </c>
      <c r="O29" s="158">
        <f t="shared" ref="O29:AL29" si="46">+O26+O27</f>
        <v>1</v>
      </c>
      <c r="P29" s="158">
        <f t="shared" si="46"/>
        <v>1</v>
      </c>
      <c r="Q29" s="158">
        <f t="shared" si="46"/>
        <v>1</v>
      </c>
      <c r="R29" s="158">
        <f t="shared" si="46"/>
        <v>1</v>
      </c>
      <c r="S29" s="158">
        <f t="shared" si="46"/>
        <v>1</v>
      </c>
      <c r="T29" s="158">
        <f t="shared" si="46"/>
        <v>1</v>
      </c>
      <c r="U29" s="158">
        <f t="shared" si="46"/>
        <v>1</v>
      </c>
      <c r="V29" s="158">
        <f t="shared" si="46"/>
        <v>1</v>
      </c>
      <c r="W29" s="580">
        <f t="shared" si="46"/>
        <v>1</v>
      </c>
      <c r="X29" s="158">
        <f t="shared" si="46"/>
        <v>1</v>
      </c>
      <c r="Y29" s="158">
        <f t="shared" si="46"/>
        <v>1</v>
      </c>
      <c r="Z29" s="158">
        <f t="shared" si="46"/>
        <v>1</v>
      </c>
      <c r="AA29" s="158">
        <f t="shared" si="46"/>
        <v>1</v>
      </c>
      <c r="AB29" s="580">
        <f t="shared" si="46"/>
        <v>1</v>
      </c>
      <c r="AC29" s="158">
        <f t="shared" si="46"/>
        <v>1</v>
      </c>
      <c r="AD29" s="158">
        <f t="shared" si="46"/>
        <v>1</v>
      </c>
      <c r="AE29" s="158">
        <f t="shared" si="46"/>
        <v>1</v>
      </c>
      <c r="AF29" s="158">
        <f t="shared" si="46"/>
        <v>1</v>
      </c>
      <c r="AG29" s="580">
        <f t="shared" si="46"/>
        <v>1</v>
      </c>
      <c r="AH29" s="158">
        <f t="shared" si="46"/>
        <v>1</v>
      </c>
      <c r="AI29" s="158">
        <f t="shared" si="46"/>
        <v>1</v>
      </c>
      <c r="AJ29" s="158">
        <f t="shared" si="46"/>
        <v>1</v>
      </c>
      <c r="AK29" s="158">
        <f t="shared" si="46"/>
        <v>1</v>
      </c>
      <c r="AL29" s="580">
        <f t="shared" si="46"/>
        <v>1</v>
      </c>
      <c r="AM29" s="158">
        <f t="shared" ref="AM29:AQ29" si="47">+AM26+AM27</f>
        <v>1</v>
      </c>
      <c r="AN29" s="158">
        <f t="shared" si="47"/>
        <v>1</v>
      </c>
      <c r="AO29" s="158">
        <f t="shared" si="47"/>
        <v>1</v>
      </c>
      <c r="AP29" s="158">
        <f t="shared" si="47"/>
        <v>1</v>
      </c>
      <c r="AQ29" s="580">
        <f t="shared" si="47"/>
        <v>1</v>
      </c>
      <c r="AR29" s="158">
        <f t="shared" ref="AR29:AV29" si="48">+AR26+AR27</f>
        <v>1</v>
      </c>
      <c r="AS29" s="158">
        <f t="shared" si="48"/>
        <v>1</v>
      </c>
      <c r="AT29" s="158">
        <f t="shared" si="48"/>
        <v>1</v>
      </c>
      <c r="AU29" s="158">
        <f t="shared" si="48"/>
        <v>1</v>
      </c>
      <c r="AV29" s="580">
        <f t="shared" si="48"/>
        <v>1</v>
      </c>
      <c r="AW29" s="158">
        <f t="shared" ref="AW29:BA29" si="49">+AW26+AW27</f>
        <v>1</v>
      </c>
      <c r="AX29" s="158">
        <f t="shared" si="49"/>
        <v>1</v>
      </c>
      <c r="AY29" s="158">
        <f t="shared" si="49"/>
        <v>1</v>
      </c>
      <c r="AZ29" s="158">
        <f t="shared" si="49"/>
        <v>1</v>
      </c>
      <c r="BA29" s="580">
        <f t="shared" si="49"/>
        <v>1</v>
      </c>
      <c r="BB29" s="158">
        <f t="shared" ref="BB29:BF29" si="50">+BB26+BB27</f>
        <v>1</v>
      </c>
      <c r="BC29" s="158">
        <f t="shared" si="50"/>
        <v>1</v>
      </c>
      <c r="BD29" s="158">
        <f t="shared" si="50"/>
        <v>1</v>
      </c>
      <c r="BE29" s="158">
        <f t="shared" si="50"/>
        <v>1</v>
      </c>
      <c r="BF29" s="580">
        <f t="shared" si="50"/>
        <v>1</v>
      </c>
      <c r="BG29" s="158">
        <f t="shared" ref="BG29:BP29" si="51">+BG26+BG27</f>
        <v>1</v>
      </c>
      <c r="BH29" s="158">
        <f t="shared" si="51"/>
        <v>1</v>
      </c>
      <c r="BI29" s="158">
        <f t="shared" si="51"/>
        <v>1</v>
      </c>
      <c r="BJ29" s="158">
        <f t="shared" si="51"/>
        <v>1</v>
      </c>
      <c r="BK29" s="580">
        <f t="shared" si="51"/>
        <v>1</v>
      </c>
      <c r="BL29" s="158">
        <f t="shared" si="51"/>
        <v>1</v>
      </c>
      <c r="BM29" s="158">
        <f t="shared" si="51"/>
        <v>1</v>
      </c>
      <c r="BN29" s="158">
        <f t="shared" si="51"/>
        <v>1</v>
      </c>
      <c r="BO29" s="158">
        <f t="shared" si="51"/>
        <v>0.99999999999999978</v>
      </c>
      <c r="BP29" s="580">
        <f t="shared" si="51"/>
        <v>1</v>
      </c>
      <c r="BQ29" s="158">
        <f t="shared" ref="BQ29:BZ29" si="52">+BQ26+BQ27</f>
        <v>1</v>
      </c>
      <c r="BR29" s="158">
        <f t="shared" si="52"/>
        <v>1</v>
      </c>
      <c r="BS29" s="158">
        <f t="shared" si="52"/>
        <v>1</v>
      </c>
      <c r="BT29" s="158">
        <f t="shared" si="52"/>
        <v>0</v>
      </c>
      <c r="BU29" s="580">
        <f t="shared" si="52"/>
        <v>0</v>
      </c>
      <c r="BV29" s="158">
        <f t="shared" si="52"/>
        <v>0</v>
      </c>
      <c r="BW29" s="158">
        <f t="shared" si="52"/>
        <v>0</v>
      </c>
      <c r="BX29" s="158">
        <f t="shared" si="52"/>
        <v>0</v>
      </c>
      <c r="BY29" s="158">
        <f t="shared" si="52"/>
        <v>0</v>
      </c>
      <c r="BZ29" s="580">
        <f t="shared" si="52"/>
        <v>0</v>
      </c>
    </row>
    <row r="30" spans="2:78" s="150" customFormat="1">
      <c r="C30" s="159"/>
      <c r="D30" s="161"/>
      <c r="E30" s="161"/>
      <c r="F30" s="161"/>
      <c r="G30" s="161"/>
      <c r="I30" s="161"/>
      <c r="J30" s="161"/>
      <c r="K30" s="161"/>
      <c r="L30" s="161"/>
      <c r="N30" s="161"/>
      <c r="O30" s="161"/>
      <c r="P30" s="161"/>
      <c r="Q30" s="161"/>
      <c r="S30" s="161"/>
      <c r="T30" s="161"/>
      <c r="U30" s="161"/>
      <c r="V30" s="161"/>
      <c r="X30" s="161"/>
      <c r="Y30" s="161"/>
      <c r="Z30" s="161"/>
      <c r="AA30" s="161"/>
      <c r="AC30" s="161"/>
      <c r="AD30" s="161"/>
      <c r="AE30" s="161"/>
      <c r="AF30" s="161"/>
      <c r="AH30" s="161"/>
      <c r="AI30" s="161"/>
      <c r="AJ30" s="161"/>
      <c r="AK30" s="161"/>
      <c r="AM30" s="161"/>
      <c r="AN30" s="161"/>
      <c r="AO30" s="161"/>
      <c r="AP30" s="161"/>
      <c r="AR30" s="161"/>
      <c r="AS30" s="161"/>
      <c r="AT30" s="161"/>
      <c r="AU30" s="161"/>
      <c r="AW30" s="161"/>
      <c r="AX30" s="161"/>
      <c r="AY30" s="161"/>
      <c r="AZ30" s="161"/>
      <c r="BB30" s="161"/>
      <c r="BC30" s="161"/>
      <c r="BD30" s="161"/>
      <c r="BE30" s="161"/>
      <c r="BG30" s="161"/>
      <c r="BH30" s="161"/>
      <c r="BI30" s="161"/>
      <c r="BJ30" s="161"/>
      <c r="BL30" s="161"/>
      <c r="BM30" s="161"/>
      <c r="BN30" s="161"/>
      <c r="BO30" s="161"/>
      <c r="BQ30" s="161"/>
      <c r="BR30" s="161"/>
      <c r="BS30" s="161"/>
      <c r="BT30" s="161"/>
      <c r="BV30" s="161"/>
      <c r="BW30" s="161"/>
      <c r="BX30" s="161"/>
      <c r="BY30" s="161"/>
    </row>
    <row r="31" spans="2:78" s="150" customFormat="1">
      <c r="B31" s="150" t="s">
        <v>351</v>
      </c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2"/>
      <c r="AQ31" s="162"/>
      <c r="AR31" s="162"/>
      <c r="AS31" s="162"/>
      <c r="AT31" s="162"/>
      <c r="AU31" s="162"/>
      <c r="AV31" s="162"/>
      <c r="AW31" s="162"/>
      <c r="AX31" s="162"/>
      <c r="AY31" s="162"/>
      <c r="AZ31" s="162"/>
      <c r="BA31" s="162"/>
      <c r="BB31" s="162"/>
      <c r="BC31" s="162"/>
      <c r="BD31" s="162"/>
      <c r="BE31" s="162"/>
      <c r="BF31" s="162"/>
      <c r="BG31" s="162"/>
      <c r="BH31" s="162"/>
      <c r="BI31" s="162"/>
      <c r="BJ31" s="162"/>
      <c r="BK31" s="162"/>
      <c r="BL31" s="162"/>
      <c r="BM31" s="162"/>
      <c r="BN31" s="162"/>
      <c r="BO31" s="162"/>
      <c r="BP31" s="162"/>
      <c r="BQ31" s="162"/>
      <c r="BR31" s="162"/>
      <c r="BS31" s="162"/>
      <c r="BT31" s="162"/>
      <c r="BU31" s="162"/>
      <c r="BV31" s="162"/>
      <c r="BW31" s="162"/>
      <c r="BX31" s="162"/>
      <c r="BY31" s="162"/>
      <c r="BZ31" s="162"/>
    </row>
    <row r="32" spans="2:78" s="150" customFormat="1" ht="13.15" thickBot="1">
      <c r="B32" s="197" t="s">
        <v>422</v>
      </c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3"/>
      <c r="AX32" s="163"/>
      <c r="AY32" s="163"/>
      <c r="AZ32" s="163"/>
      <c r="BA32" s="163"/>
      <c r="BB32" s="163"/>
      <c r="BC32" s="163"/>
      <c r="BD32" s="163"/>
      <c r="BE32" s="163"/>
      <c r="BF32" s="163"/>
      <c r="BG32" s="163"/>
      <c r="BH32" s="163"/>
      <c r="BI32" s="163"/>
      <c r="BJ32" s="163"/>
      <c r="BK32" s="163"/>
      <c r="BL32" s="163"/>
      <c r="BM32" s="163"/>
      <c r="BN32" s="163"/>
      <c r="BO32" s="163"/>
      <c r="BP32" s="163"/>
      <c r="BQ32" s="163"/>
      <c r="BR32" s="163"/>
      <c r="BS32" s="163"/>
      <c r="BT32" s="163"/>
      <c r="BU32" s="163"/>
      <c r="BV32" s="163"/>
      <c r="BW32" s="163"/>
      <c r="BX32" s="163"/>
      <c r="BY32" s="163"/>
      <c r="BZ32" s="163"/>
    </row>
    <row r="33" spans="2:78" s="150" customFormat="1"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42"/>
      <c r="AB33" s="642"/>
      <c r="AC33" s="642"/>
      <c r="AD33" s="642"/>
      <c r="AE33" s="642"/>
      <c r="AF33" s="642"/>
      <c r="AG33" s="642"/>
      <c r="AH33" s="642"/>
      <c r="AI33" s="642"/>
      <c r="AJ33" s="642"/>
      <c r="AK33" s="642"/>
      <c r="AL33" s="642"/>
      <c r="AM33" s="642"/>
      <c r="AN33" s="642"/>
      <c r="AO33" s="642"/>
      <c r="AP33" s="642"/>
      <c r="AQ33" s="642"/>
      <c r="AR33" s="642"/>
      <c r="AS33" s="642"/>
      <c r="AT33" s="642"/>
      <c r="AU33" s="642"/>
      <c r="AV33" s="642"/>
      <c r="AW33" s="642"/>
      <c r="AX33" s="642"/>
      <c r="AY33" s="642"/>
      <c r="AZ33" s="642"/>
      <c r="BA33" s="642"/>
      <c r="BB33" s="642"/>
      <c r="BC33" s="642"/>
      <c r="BD33" s="642"/>
      <c r="BE33" s="642"/>
      <c r="BF33" s="642"/>
      <c r="BG33" s="642"/>
      <c r="BH33" s="642"/>
      <c r="BI33" s="642"/>
      <c r="BJ33" s="642"/>
      <c r="BK33" s="642"/>
      <c r="BL33" s="642"/>
      <c r="BM33" s="642"/>
      <c r="BN33" s="642"/>
      <c r="BO33" s="642"/>
      <c r="BP33" s="642"/>
      <c r="BQ33" s="642"/>
      <c r="BR33" s="642"/>
      <c r="BS33" s="642"/>
      <c r="BT33" s="642"/>
      <c r="BU33" s="642"/>
      <c r="BV33" s="642"/>
      <c r="BW33" s="642"/>
      <c r="BX33" s="642"/>
      <c r="BY33" s="642"/>
      <c r="BZ33" s="642"/>
    </row>
    <row r="34" spans="2:78" s="150" customFormat="1">
      <c r="B34" s="150" t="s">
        <v>135</v>
      </c>
      <c r="C34" s="154"/>
      <c r="D34" s="154">
        <f>+IS!D9</f>
        <v>21191</v>
      </c>
      <c r="E34" s="154">
        <f>+IS!E9</f>
        <v>22190</v>
      </c>
      <c r="F34" s="154">
        <f>+IS!F9</f>
        <v>23382</v>
      </c>
      <c r="G34" s="154">
        <f>+IS!G9</f>
        <v>24657</v>
      </c>
      <c r="H34" s="154">
        <f>+IS!H9</f>
        <v>91420</v>
      </c>
      <c r="I34" s="154">
        <f>+IS!I9</f>
        <v>24883</v>
      </c>
      <c r="J34" s="154">
        <f>+IS!J9</f>
        <v>26291</v>
      </c>
      <c r="K34" s="154">
        <f>+IS!K9</f>
        <v>27749</v>
      </c>
      <c r="L34" s="154">
        <f>+IS!L9</f>
        <v>29039.000000000011</v>
      </c>
      <c r="M34" s="154">
        <f>+IS!M9</f>
        <v>107962.00000000001</v>
      </c>
      <c r="N34" s="154">
        <f>+IS!N9</f>
        <v>30356</v>
      </c>
      <c r="O34" s="154">
        <f>+IS!O9</f>
        <v>32302</v>
      </c>
      <c r="P34" s="154">
        <f>+IS!P9</f>
        <v>34348</v>
      </c>
      <c r="Q34" s="154">
        <f>+IS!Q9</f>
        <v>36573</v>
      </c>
      <c r="R34" s="154">
        <f>+IS!R9</f>
        <v>133579</v>
      </c>
      <c r="S34" s="154">
        <f>+IS!S9</f>
        <v>37493</v>
      </c>
      <c r="T34" s="154">
        <f>+IS!T9</f>
        <v>39877</v>
      </c>
      <c r="U34" s="154">
        <f>+IS!U9</f>
        <v>42469</v>
      </c>
      <c r="V34" s="154">
        <f>+IS!V9</f>
        <v>44445</v>
      </c>
      <c r="W34" s="154">
        <f>+IS!W9</f>
        <v>164284</v>
      </c>
      <c r="X34" s="154">
        <f>+IS!X9</f>
        <v>46248</v>
      </c>
      <c r="Y34" s="154">
        <f>+IS!Y9</f>
        <v>48466</v>
      </c>
      <c r="Z34" s="154">
        <f>+IS!Z9</f>
        <v>50987</v>
      </c>
      <c r="AA34" s="154">
        <f>+IS!AA9</f>
        <v>52224</v>
      </c>
      <c r="AB34" s="154">
        <f>+IS!AB9</f>
        <v>197925</v>
      </c>
      <c r="AC34" s="154">
        <f>+IS!AC9</f>
        <v>53121</v>
      </c>
      <c r="AD34" s="154">
        <f>+IS!AD9</f>
        <v>55302</v>
      </c>
      <c r="AE34" s="154">
        <f>+IS!AE9</f>
        <v>59490</v>
      </c>
      <c r="AF34" s="154">
        <f>+IS!AF9</f>
        <v>62915</v>
      </c>
      <c r="AG34" s="154">
        <f>+IS!AG9</f>
        <v>230828</v>
      </c>
      <c r="AH34" s="154">
        <f>+IS!AH9</f>
        <v>64878</v>
      </c>
      <c r="AI34" s="154">
        <f>+IS!AI9</f>
        <v>68153</v>
      </c>
      <c r="AJ34" s="154">
        <f>+IS!AJ9</f>
        <v>71658</v>
      </c>
      <c r="AK34" s="154">
        <f>+IS!AK9</f>
        <v>74200</v>
      </c>
      <c r="AL34" s="154">
        <f>+IS!AL9</f>
        <v>278889</v>
      </c>
      <c r="AM34" s="154">
        <f>+IS!AM9</f>
        <v>75343</v>
      </c>
      <c r="AN34" s="154">
        <f>+IS!AN9</f>
        <v>78929</v>
      </c>
      <c r="AO34" s="154">
        <f>+IS!AO9</f>
        <v>82671</v>
      </c>
      <c r="AP34" s="154">
        <f>+IS!AP9</f>
        <v>84664</v>
      </c>
      <c r="AQ34" s="154">
        <f>+IS!AQ9</f>
        <v>321607</v>
      </c>
      <c r="AR34" s="154">
        <f>+IS!AR9</f>
        <v>86263</v>
      </c>
      <c r="AS34" s="154">
        <f>+IS!AS9</f>
        <v>88830</v>
      </c>
      <c r="AT34" s="154">
        <f>+IS!AT9</f>
        <v>93069</v>
      </c>
      <c r="AU34" s="154">
        <f>+IS!AU9</f>
        <v>94801</v>
      </c>
      <c r="AV34" s="154">
        <f>+IS!AV9</f>
        <v>362963</v>
      </c>
      <c r="AW34" s="154">
        <f>+IS!AW9</f>
        <v>96756</v>
      </c>
      <c r="AX34" s="154">
        <f>+IS!AX9</f>
        <v>99702</v>
      </c>
      <c r="AY34" s="154">
        <f>+IS!AY9</f>
        <v>104934</v>
      </c>
      <c r="AZ34" s="154">
        <f>+IS!AZ9</f>
        <v>109780</v>
      </c>
      <c r="BA34" s="154">
        <f>+IS!BA9</f>
        <v>411172</v>
      </c>
      <c r="BB34" s="154">
        <f>+IS!BB9</f>
        <v>113420</v>
      </c>
      <c r="BC34" s="154">
        <f>+IS!BC9</f>
        <v>119893</v>
      </c>
      <c r="BD34" s="154">
        <f>+IS!BD9</f>
        <v>125561</v>
      </c>
      <c r="BE34" s="154">
        <f>+IS!BE9</f>
        <v>130849</v>
      </c>
      <c r="BF34" s="154">
        <f>+IS!BF9</f>
        <v>489723</v>
      </c>
      <c r="BG34" s="154">
        <f>+IS!BG9</f>
        <v>130683</v>
      </c>
      <c r="BH34" s="154">
        <f>+IS!BH9</f>
        <v>137209</v>
      </c>
      <c r="BI34" s="154">
        <f>+IS!BI9</f>
        <v>141996</v>
      </c>
      <c r="BJ34" s="154">
        <f>+IS!BJ9</f>
        <v>144570</v>
      </c>
      <c r="BK34" s="154">
        <f>+IS!BK9</f>
        <v>554458</v>
      </c>
      <c r="BL34" s="154">
        <f>+IS!BL9</f>
        <v>145805</v>
      </c>
      <c r="BM34" s="154">
        <f>+IS!BM9</f>
        <v>148708</v>
      </c>
      <c r="BN34" s="154">
        <f>+IS!BN9</f>
        <v>153867</v>
      </c>
      <c r="BO34" s="154">
        <f>+IS!BO9</f>
        <v>159191</v>
      </c>
      <c r="BP34" s="154">
        <f>+IS!BP9</f>
        <v>607571</v>
      </c>
      <c r="BQ34" s="154">
        <f>+IS!BQ9</f>
        <v>159899</v>
      </c>
      <c r="BR34" s="154">
        <f>+IS!BR9</f>
        <v>164062</v>
      </c>
      <c r="BS34" s="154">
        <f>+IS!BS9</f>
        <v>169882</v>
      </c>
      <c r="BT34" s="154">
        <f>+IS!BT9</f>
        <v>175282</v>
      </c>
      <c r="BU34" s="154">
        <f>+IS!BU9</f>
        <v>669125</v>
      </c>
      <c r="BV34" s="154">
        <f>+IS!BV9</f>
        <v>173490.41500000001</v>
      </c>
      <c r="BW34" s="154">
        <f>+IS!BW9</f>
        <v>177186.96000000002</v>
      </c>
      <c r="BX34" s="154">
        <f>+IS!BX9</f>
        <v>182623.15</v>
      </c>
      <c r="BY34" s="154">
        <f>+IS!BY9</f>
        <v>187551.74000000002</v>
      </c>
      <c r="BZ34" s="154">
        <f>+IS!BZ9</f>
        <v>720852.26500000013</v>
      </c>
    </row>
    <row r="35" spans="2:78" s="150" customFormat="1">
      <c r="B35" s="150" t="s">
        <v>136</v>
      </c>
      <c r="D35" s="164">
        <f t="shared" ref="D35:AI35" si="53">D11-D34</f>
        <v>0</v>
      </c>
      <c r="E35" s="164">
        <f t="shared" si="53"/>
        <v>0</v>
      </c>
      <c r="F35" s="164">
        <f t="shared" si="53"/>
        <v>0</v>
      </c>
      <c r="G35" s="164">
        <f t="shared" si="53"/>
        <v>0</v>
      </c>
      <c r="H35" s="164">
        <f t="shared" si="53"/>
        <v>0</v>
      </c>
      <c r="I35" s="164">
        <f t="shared" si="53"/>
        <v>0</v>
      </c>
      <c r="J35" s="164">
        <f t="shared" si="53"/>
        <v>0</v>
      </c>
      <c r="K35" s="164">
        <f t="shared" si="53"/>
        <v>0</v>
      </c>
      <c r="L35" s="164">
        <f t="shared" si="53"/>
        <v>0</v>
      </c>
      <c r="M35" s="164">
        <f t="shared" si="53"/>
        <v>0</v>
      </c>
      <c r="N35" s="164">
        <f t="shared" si="53"/>
        <v>0</v>
      </c>
      <c r="O35" s="164">
        <f t="shared" si="53"/>
        <v>0</v>
      </c>
      <c r="P35" s="164">
        <f t="shared" si="53"/>
        <v>0</v>
      </c>
      <c r="Q35" s="164">
        <f t="shared" si="53"/>
        <v>0</v>
      </c>
      <c r="R35" s="164">
        <f t="shared" si="53"/>
        <v>0</v>
      </c>
      <c r="S35" s="164">
        <f t="shared" si="53"/>
        <v>0</v>
      </c>
      <c r="T35" s="164">
        <f t="shared" si="53"/>
        <v>0</v>
      </c>
      <c r="U35" s="164">
        <f t="shared" si="53"/>
        <v>0</v>
      </c>
      <c r="V35" s="164">
        <f t="shared" si="53"/>
        <v>0</v>
      </c>
      <c r="W35" s="164">
        <f t="shared" si="53"/>
        <v>0</v>
      </c>
      <c r="X35" s="164">
        <f t="shared" si="53"/>
        <v>0</v>
      </c>
      <c r="Y35" s="164">
        <f t="shared" si="53"/>
        <v>0</v>
      </c>
      <c r="Z35" s="164">
        <f t="shared" si="53"/>
        <v>0</v>
      </c>
      <c r="AA35" s="164">
        <f t="shared" si="53"/>
        <v>0</v>
      </c>
      <c r="AB35" s="164">
        <f t="shared" si="53"/>
        <v>0</v>
      </c>
      <c r="AC35" s="164">
        <f t="shared" si="53"/>
        <v>0</v>
      </c>
      <c r="AD35" s="164">
        <f t="shared" si="53"/>
        <v>0</v>
      </c>
      <c r="AE35" s="164">
        <f t="shared" si="53"/>
        <v>0</v>
      </c>
      <c r="AF35" s="164">
        <f t="shared" si="53"/>
        <v>0</v>
      </c>
      <c r="AG35" s="164">
        <f t="shared" si="53"/>
        <v>0</v>
      </c>
      <c r="AH35" s="164">
        <f t="shared" si="53"/>
        <v>0</v>
      </c>
      <c r="AI35" s="164">
        <f t="shared" si="53"/>
        <v>0</v>
      </c>
      <c r="AJ35" s="164">
        <f t="shared" ref="AJ35:BO35" si="54">AJ11-AJ34</f>
        <v>0</v>
      </c>
      <c r="AK35" s="164">
        <f t="shared" si="54"/>
        <v>0</v>
      </c>
      <c r="AL35" s="164">
        <f t="shared" si="54"/>
        <v>0</v>
      </c>
      <c r="AM35" s="164">
        <f t="shared" si="54"/>
        <v>0</v>
      </c>
      <c r="AN35" s="164">
        <f t="shared" si="54"/>
        <v>0</v>
      </c>
      <c r="AO35" s="164">
        <f t="shared" si="54"/>
        <v>0</v>
      </c>
      <c r="AP35" s="164">
        <f t="shared" si="54"/>
        <v>0</v>
      </c>
      <c r="AQ35" s="164">
        <f t="shared" si="54"/>
        <v>0</v>
      </c>
      <c r="AR35" s="164">
        <f t="shared" si="54"/>
        <v>0</v>
      </c>
      <c r="AS35" s="164">
        <f t="shared" si="54"/>
        <v>0</v>
      </c>
      <c r="AT35" s="164">
        <f t="shared" si="54"/>
        <v>0</v>
      </c>
      <c r="AU35" s="164">
        <f t="shared" si="54"/>
        <v>0</v>
      </c>
      <c r="AV35" s="164">
        <f t="shared" si="54"/>
        <v>0</v>
      </c>
      <c r="AW35" s="164">
        <f t="shared" si="54"/>
        <v>0</v>
      </c>
      <c r="AX35" s="164">
        <f t="shared" si="54"/>
        <v>0</v>
      </c>
      <c r="AY35" s="164">
        <f t="shared" si="54"/>
        <v>0</v>
      </c>
      <c r="AZ35" s="164">
        <f t="shared" si="54"/>
        <v>0</v>
      </c>
      <c r="BA35" s="164">
        <f t="shared" si="54"/>
        <v>0</v>
      </c>
      <c r="BB35" s="164">
        <f t="shared" si="54"/>
        <v>0</v>
      </c>
      <c r="BC35" s="164">
        <f t="shared" si="54"/>
        <v>0</v>
      </c>
      <c r="BD35" s="164">
        <f t="shared" si="54"/>
        <v>0</v>
      </c>
      <c r="BE35" s="164">
        <f t="shared" si="54"/>
        <v>0</v>
      </c>
      <c r="BF35" s="164">
        <f t="shared" si="54"/>
        <v>0</v>
      </c>
      <c r="BG35" s="164">
        <f t="shared" si="54"/>
        <v>0</v>
      </c>
      <c r="BH35" s="164">
        <f t="shared" si="54"/>
        <v>0</v>
      </c>
      <c r="BI35" s="164">
        <f t="shared" si="54"/>
        <v>0</v>
      </c>
      <c r="BJ35" s="164">
        <f t="shared" si="54"/>
        <v>0</v>
      </c>
      <c r="BK35" s="164">
        <f t="shared" si="54"/>
        <v>0</v>
      </c>
      <c r="BL35" s="164">
        <f t="shared" si="54"/>
        <v>0</v>
      </c>
      <c r="BM35" s="164">
        <f t="shared" si="54"/>
        <v>0</v>
      </c>
      <c r="BN35" s="164">
        <f t="shared" si="54"/>
        <v>0</v>
      </c>
      <c r="BO35" s="164">
        <f t="shared" si="54"/>
        <v>0</v>
      </c>
      <c r="BP35" s="164">
        <f t="shared" ref="BP35:BZ35" si="55">BP11-BP34</f>
        <v>0</v>
      </c>
      <c r="BQ35" s="164">
        <f t="shared" si="55"/>
        <v>0</v>
      </c>
      <c r="BR35" s="164">
        <f t="shared" si="55"/>
        <v>0</v>
      </c>
      <c r="BS35" s="164">
        <f t="shared" si="55"/>
        <v>0</v>
      </c>
      <c r="BT35" s="164">
        <f t="shared" si="55"/>
        <v>-175282</v>
      </c>
      <c r="BU35" s="164">
        <f t="shared" si="55"/>
        <v>-669125</v>
      </c>
      <c r="BV35" s="164">
        <f t="shared" si="55"/>
        <v>-173490.41500000001</v>
      </c>
      <c r="BW35" s="164">
        <f t="shared" si="55"/>
        <v>-177186.96000000002</v>
      </c>
      <c r="BX35" s="164">
        <f t="shared" si="55"/>
        <v>-182623.15</v>
      </c>
      <c r="BY35" s="164">
        <f t="shared" si="55"/>
        <v>-187551.74000000002</v>
      </c>
      <c r="BZ35" s="164">
        <f t="shared" si="55"/>
        <v>-720852.26500000013</v>
      </c>
    </row>
    <row r="39" spans="2:78" ht="13.5" customHeight="1"/>
    <row r="41" spans="2:78">
      <c r="B41" s="128"/>
      <c r="C41" s="128"/>
      <c r="D41" s="129"/>
      <c r="E41" s="130"/>
      <c r="F41" s="131"/>
      <c r="G41" s="131"/>
      <c r="H41" s="132"/>
      <c r="I41" s="129"/>
      <c r="J41" s="130"/>
      <c r="K41" s="131"/>
      <c r="L41" s="131"/>
      <c r="M41" s="132"/>
      <c r="N41" s="129"/>
      <c r="O41" s="130"/>
      <c r="P41" s="131"/>
      <c r="Q41" s="131"/>
      <c r="R41" s="132"/>
      <c r="S41" s="129"/>
      <c r="T41" s="130"/>
      <c r="U41" s="131"/>
      <c r="V41" s="131"/>
      <c r="W41" s="132"/>
      <c r="X41" s="129"/>
      <c r="Y41" s="130"/>
      <c r="Z41" s="131"/>
      <c r="AA41" s="131"/>
      <c r="AB41" s="132"/>
      <c r="AC41" s="129"/>
      <c r="AD41" s="130"/>
      <c r="AE41" s="131"/>
      <c r="AF41" s="131"/>
      <c r="AG41" s="132"/>
      <c r="AH41" s="129"/>
      <c r="AI41" s="130"/>
      <c r="AJ41" s="131"/>
      <c r="AK41" s="131"/>
      <c r="AL41" s="132"/>
      <c r="AM41" s="129"/>
      <c r="AN41" s="130"/>
      <c r="AO41" s="131"/>
      <c r="AP41" s="131"/>
      <c r="AQ41" s="132"/>
      <c r="AR41" s="129"/>
      <c r="AS41" s="130"/>
      <c r="AT41" s="131"/>
      <c r="AU41" s="131"/>
      <c r="AV41" s="132"/>
      <c r="AW41" s="129"/>
      <c r="AX41" s="130"/>
      <c r="AY41" s="131"/>
      <c r="AZ41" s="131"/>
      <c r="BA41" s="132"/>
      <c r="BB41" s="129"/>
      <c r="BC41" s="130"/>
      <c r="BD41" s="131"/>
      <c r="BE41" s="131"/>
      <c r="BF41" s="132"/>
    </row>
    <row r="42" spans="2:78">
      <c r="B42" s="128"/>
      <c r="C42" s="128"/>
      <c r="D42" s="133"/>
      <c r="E42" s="133"/>
      <c r="F42" s="133"/>
      <c r="G42" s="133"/>
      <c r="H42" s="134"/>
      <c r="I42" s="133"/>
      <c r="J42" s="133"/>
      <c r="K42" s="133"/>
      <c r="L42" s="133"/>
      <c r="M42" s="134"/>
      <c r="N42" s="133"/>
      <c r="O42" s="133"/>
      <c r="P42" s="133"/>
      <c r="Q42" s="133"/>
      <c r="R42" s="134"/>
      <c r="S42" s="133"/>
      <c r="T42" s="133"/>
      <c r="U42" s="133"/>
      <c r="V42" s="133"/>
      <c r="W42" s="134"/>
      <c r="X42" s="133"/>
      <c r="Y42" s="133"/>
      <c r="Z42" s="133"/>
      <c r="AA42" s="133"/>
      <c r="AB42" s="134"/>
      <c r="AC42" s="133"/>
      <c r="AD42" s="133"/>
      <c r="AE42" s="133"/>
      <c r="AF42" s="133"/>
      <c r="AG42" s="134"/>
      <c r="AH42" s="133"/>
      <c r="AI42" s="133"/>
      <c r="AJ42" s="133"/>
      <c r="AK42" s="133"/>
      <c r="AL42" s="134"/>
      <c r="AM42" s="133"/>
      <c r="AN42" s="133"/>
      <c r="AO42" s="133"/>
      <c r="AP42" s="133"/>
      <c r="AQ42" s="134"/>
      <c r="AR42" s="133"/>
      <c r="AS42" s="133"/>
      <c r="AT42" s="133"/>
      <c r="AU42" s="133"/>
      <c r="AV42" s="134"/>
      <c r="AW42" s="133"/>
      <c r="AX42" s="133"/>
      <c r="AY42" s="133"/>
      <c r="AZ42" s="133"/>
      <c r="BA42" s="134"/>
      <c r="BB42" s="133"/>
      <c r="BC42" s="133"/>
      <c r="BD42" s="133"/>
      <c r="BE42" s="133"/>
      <c r="BF42" s="134"/>
    </row>
    <row r="43" spans="2:78">
      <c r="B43" s="128"/>
      <c r="C43" s="128"/>
      <c r="D43" s="135"/>
      <c r="E43" s="135"/>
      <c r="F43" s="135"/>
      <c r="G43" s="135"/>
      <c r="H43" s="132"/>
      <c r="I43" s="135"/>
      <c r="J43" s="135"/>
      <c r="K43" s="135"/>
      <c r="L43" s="135"/>
      <c r="M43" s="132"/>
      <c r="N43" s="135"/>
      <c r="O43" s="135"/>
      <c r="P43" s="135"/>
      <c r="Q43" s="135"/>
      <c r="R43" s="132"/>
      <c r="S43" s="135"/>
      <c r="T43" s="135"/>
      <c r="U43" s="135"/>
      <c r="V43" s="135"/>
      <c r="W43" s="132"/>
      <c r="X43" s="135"/>
      <c r="Y43" s="135"/>
      <c r="Z43" s="135"/>
      <c r="AA43" s="135"/>
      <c r="AB43" s="132"/>
      <c r="AC43" s="135"/>
      <c r="AD43" s="135"/>
      <c r="AE43" s="135"/>
      <c r="AF43" s="135"/>
      <c r="AG43" s="132"/>
      <c r="AH43" s="135"/>
      <c r="AI43" s="135"/>
      <c r="AJ43" s="135"/>
      <c r="AK43" s="135"/>
      <c r="AL43" s="132"/>
      <c r="AM43" s="135"/>
      <c r="AN43" s="135"/>
      <c r="AO43" s="135"/>
      <c r="AP43" s="135"/>
      <c r="AQ43" s="132"/>
      <c r="AR43" s="135"/>
      <c r="AS43" s="135"/>
      <c r="AT43" s="135"/>
      <c r="AU43" s="135"/>
      <c r="AV43" s="132"/>
      <c r="AW43" s="135"/>
      <c r="AX43" s="135"/>
      <c r="AY43" s="135"/>
      <c r="AZ43" s="135"/>
      <c r="BA43" s="132"/>
      <c r="BB43" s="135"/>
      <c r="BC43" s="135"/>
      <c r="BD43" s="135"/>
      <c r="BE43" s="135"/>
      <c r="BF43" s="132"/>
    </row>
    <row r="45" spans="2:78" ht="13.15">
      <c r="B45" s="136"/>
      <c r="C45" s="137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</row>
    <row r="46" spans="2:78" ht="13.15">
      <c r="B46" s="136"/>
      <c r="C46" s="137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39"/>
    </row>
    <row r="47" spans="2:78">
      <c r="C47" s="140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39"/>
      <c r="BF47" s="139"/>
    </row>
    <row r="48" spans="2:78">
      <c r="C48" s="140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39"/>
      <c r="BF48" s="139"/>
    </row>
    <row r="49" spans="2:58">
      <c r="B49" s="140"/>
      <c r="C49" s="140"/>
      <c r="D49" s="141"/>
      <c r="E49" s="141"/>
      <c r="F49" s="141"/>
      <c r="G49" s="141"/>
      <c r="I49" s="141"/>
      <c r="J49" s="141"/>
      <c r="K49" s="141"/>
      <c r="L49" s="141"/>
      <c r="N49" s="141"/>
      <c r="O49" s="141"/>
      <c r="P49" s="141"/>
      <c r="Q49" s="141"/>
      <c r="S49" s="141"/>
      <c r="T49" s="141"/>
      <c r="U49" s="141"/>
      <c r="V49" s="141"/>
      <c r="X49" s="141"/>
      <c r="Y49" s="141"/>
      <c r="Z49" s="141"/>
      <c r="AA49" s="141"/>
      <c r="AC49" s="141"/>
      <c r="AD49" s="141"/>
      <c r="AE49" s="141"/>
      <c r="AF49" s="141"/>
      <c r="AH49" s="141"/>
      <c r="AI49" s="141"/>
      <c r="AJ49" s="141"/>
      <c r="AK49" s="141"/>
      <c r="AM49" s="141"/>
      <c r="AN49" s="141"/>
      <c r="AO49" s="141"/>
      <c r="AP49" s="141"/>
      <c r="AR49" s="141"/>
      <c r="AS49" s="141"/>
      <c r="AT49" s="141"/>
      <c r="AU49" s="141"/>
      <c r="AW49" s="141"/>
      <c r="AX49" s="141"/>
      <c r="AY49" s="141"/>
      <c r="AZ49" s="141"/>
      <c r="BB49" s="141"/>
      <c r="BC49" s="141"/>
      <c r="BD49" s="141"/>
      <c r="BE49" s="141"/>
    </row>
    <row r="51" spans="2:58" ht="13.15">
      <c r="B51" s="136"/>
      <c r="C51" s="137"/>
      <c r="D51" s="138"/>
      <c r="E51" s="138"/>
      <c r="F51" s="138"/>
      <c r="G51" s="138"/>
      <c r="H51" s="142"/>
      <c r="I51" s="138"/>
      <c r="J51" s="138"/>
      <c r="K51" s="138"/>
      <c r="L51" s="138"/>
      <c r="M51" s="142"/>
      <c r="N51" s="138"/>
      <c r="O51" s="138"/>
      <c r="P51" s="138"/>
      <c r="Q51" s="138"/>
      <c r="R51" s="142"/>
      <c r="S51" s="138"/>
      <c r="T51" s="138"/>
      <c r="U51" s="138"/>
      <c r="V51" s="138"/>
      <c r="W51" s="142"/>
      <c r="X51" s="138"/>
      <c r="Y51" s="138"/>
      <c r="Z51" s="138"/>
      <c r="AA51" s="138"/>
      <c r="AB51" s="142"/>
      <c r="AC51" s="138"/>
      <c r="AD51" s="138"/>
      <c r="AE51" s="138"/>
      <c r="AF51" s="138"/>
      <c r="AG51" s="142"/>
      <c r="AH51" s="138"/>
      <c r="AI51" s="138"/>
      <c r="AJ51" s="138"/>
      <c r="AK51" s="138"/>
      <c r="AL51" s="142"/>
      <c r="AM51" s="138"/>
      <c r="AN51" s="138"/>
      <c r="AO51" s="138"/>
      <c r="AP51" s="138"/>
      <c r="AQ51" s="142"/>
      <c r="AR51" s="138"/>
      <c r="AS51" s="138"/>
      <c r="AT51" s="138"/>
      <c r="AU51" s="138"/>
      <c r="AV51" s="142"/>
      <c r="AW51" s="138"/>
      <c r="AX51" s="138"/>
      <c r="AY51" s="138"/>
      <c r="AZ51" s="138"/>
      <c r="BA51" s="142"/>
      <c r="BB51" s="138"/>
      <c r="BC51" s="138"/>
      <c r="BD51" s="138"/>
      <c r="BE51" s="138"/>
      <c r="BF51" s="142"/>
    </row>
    <row r="52" spans="2:58" ht="13.15">
      <c r="B52" s="136"/>
      <c r="C52" s="137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</row>
    <row r="53" spans="2:58">
      <c r="C53" s="140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</row>
    <row r="54" spans="2:58">
      <c r="C54" s="140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  <c r="AX54" s="139"/>
      <c r="AY54" s="139"/>
      <c r="AZ54" s="139"/>
      <c r="BA54" s="139"/>
      <c r="BB54" s="139"/>
      <c r="BC54" s="139"/>
      <c r="BD54" s="139"/>
      <c r="BE54" s="139"/>
      <c r="BF54" s="139"/>
    </row>
    <row r="56" spans="2:58">
      <c r="B56" s="144"/>
      <c r="C56" s="144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</row>
    <row r="57" spans="2:58">
      <c r="B57" s="144"/>
      <c r="C57" s="144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6"/>
      <c r="BC57" s="146"/>
      <c r="BD57" s="146"/>
      <c r="BE57" s="146"/>
      <c r="BF57" s="146"/>
    </row>
    <row r="59" spans="2:58">
      <c r="B59" s="144"/>
      <c r="C59" s="144"/>
    </row>
    <row r="60" spans="2:58">
      <c r="B60" s="144"/>
      <c r="C60" s="144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7"/>
      <c r="AO60" s="147"/>
      <c r="AP60" s="147"/>
      <c r="AQ60" s="147"/>
      <c r="AR60" s="147"/>
      <c r="AS60" s="147"/>
      <c r="AT60" s="147"/>
      <c r="AU60" s="147"/>
      <c r="AV60" s="147"/>
      <c r="AW60" s="147"/>
      <c r="AX60" s="147"/>
      <c r="AY60" s="147"/>
      <c r="AZ60" s="147"/>
      <c r="BA60" s="147"/>
      <c r="BB60" s="147"/>
      <c r="BC60" s="147"/>
      <c r="BD60" s="147"/>
      <c r="BE60" s="147"/>
      <c r="BF60" s="147"/>
    </row>
    <row r="61" spans="2:58">
      <c r="B61" s="144"/>
      <c r="C61" s="144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</row>
    <row r="67" spans="2:56">
      <c r="F67" s="149"/>
      <c r="K67" s="149"/>
      <c r="P67" s="149"/>
      <c r="U67" s="149"/>
      <c r="Z67" s="149"/>
      <c r="AE67" s="149"/>
      <c r="AJ67" s="149"/>
      <c r="AO67" s="149"/>
      <c r="AT67" s="149"/>
      <c r="AY67" s="149"/>
      <c r="BD67" s="149"/>
    </row>
    <row r="71" spans="2:56">
      <c r="B71" s="808"/>
      <c r="C71" s="808"/>
    </row>
    <row r="72" spans="2:56">
      <c r="B72" s="808"/>
      <c r="C72" s="808"/>
    </row>
    <row r="129" hidden="1"/>
  </sheetData>
  <mergeCells count="6">
    <mergeCell ref="BV5:BY5"/>
    <mergeCell ref="B71:C71"/>
    <mergeCell ref="B72:C72"/>
    <mergeCell ref="BG5:BJ5"/>
    <mergeCell ref="BL5:BO5"/>
    <mergeCell ref="BQ5:BT5"/>
  </mergeCells>
  <printOptions horizontalCentered="1" verticalCentered="1"/>
  <pageMargins left="0.25" right="0.25" top="0.75" bottom="0.75" header="0.5" footer="0.5"/>
  <pageSetup scale="95" orientation="landscape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pageSetUpPr fitToPage="1"/>
  </sheetPr>
  <dimension ref="B2:BZ70"/>
  <sheetViews>
    <sheetView showGridLines="0" view="pageBreakPreview" zoomScale="85" zoomScaleNormal="100" zoomScaleSheetLayoutView="85" workbookViewId="0">
      <selection activeCell="A38" sqref="A38"/>
    </sheetView>
  </sheetViews>
  <sheetFormatPr defaultColWidth="9.3984375" defaultRowHeight="12.75" outlineLevelRow="1" outlineLevelCol="2"/>
  <cols>
    <col min="1" max="1" width="2.3984375" style="126" customWidth="1"/>
    <col min="2" max="2" width="24.3984375" style="126" customWidth="1"/>
    <col min="3" max="3" width="6.3984375" style="126" customWidth="1"/>
    <col min="4" max="7" width="12.3984375" style="126" hidden="1" customWidth="1" outlineLevel="2"/>
    <col min="8" max="8" width="10" style="126" hidden="1" customWidth="1" outlineLevel="1" collapsed="1"/>
    <col min="9" max="12" width="12.3984375" style="126" hidden="1" customWidth="1" outlineLevel="2"/>
    <col min="13" max="13" width="10" style="126" hidden="1" customWidth="1" outlineLevel="1" collapsed="1"/>
    <col min="14" max="17" width="12.3984375" style="126" hidden="1" customWidth="1" outlineLevel="2"/>
    <col min="18" max="18" width="10" style="126" hidden="1" customWidth="1" collapsed="1"/>
    <col min="19" max="22" width="12.3984375" style="126" hidden="1" customWidth="1" outlineLevel="1"/>
    <col min="23" max="23" width="10" style="126" hidden="1" customWidth="1" collapsed="1"/>
    <col min="24" max="27" width="12.3984375" style="126" hidden="1" customWidth="1" outlineLevel="1"/>
    <col min="28" max="28" width="10" style="126" hidden="1" customWidth="1" collapsed="1"/>
    <col min="29" max="32" width="12.3984375" style="126" hidden="1" customWidth="1" outlineLevel="1"/>
    <col min="33" max="33" width="10" style="126" hidden="1" customWidth="1" collapsed="1"/>
    <col min="34" max="34" width="12" style="126" hidden="1" customWidth="1" outlineLevel="1"/>
    <col min="35" max="35" width="11.3984375" style="126" hidden="1" customWidth="1" outlineLevel="1"/>
    <col min="36" max="37" width="12.3984375" style="126" hidden="1" customWidth="1" outlineLevel="1"/>
    <col min="38" max="38" width="10" style="126" hidden="1" customWidth="1" collapsed="1"/>
    <col min="39" max="40" width="12" style="126" hidden="1" customWidth="1" outlineLevel="1"/>
    <col min="41" max="42" width="12.3984375" style="126" hidden="1" customWidth="1" outlineLevel="1"/>
    <col min="43" max="43" width="10" style="126" hidden="1" customWidth="1" collapsed="1"/>
    <col min="44" max="45" width="12" style="126" hidden="1" customWidth="1" outlineLevel="1"/>
    <col min="46" max="47" width="12.3984375" style="126" hidden="1" customWidth="1" outlineLevel="1"/>
    <col min="48" max="48" width="10" style="126" hidden="1" customWidth="1" collapsed="1"/>
    <col min="49" max="50" width="12" style="126" hidden="1" customWidth="1" outlineLevel="1"/>
    <col min="51" max="52" width="12.3984375" style="126" hidden="1" customWidth="1" outlineLevel="1"/>
    <col min="53" max="53" width="10" style="126" hidden="1" customWidth="1" collapsed="1"/>
    <col min="54" max="55" width="12" style="126" hidden="1" customWidth="1" outlineLevel="1"/>
    <col min="56" max="57" width="12.3984375" style="126" hidden="1" customWidth="1" outlineLevel="1"/>
    <col min="58" max="58" width="10" style="126" bestFit="1" customWidth="1" collapsed="1"/>
    <col min="59" max="62" width="12" style="126" hidden="1" customWidth="1" outlineLevel="1"/>
    <col min="63" max="63" width="9.3984375" style="126" collapsed="1"/>
    <col min="64" max="64" width="11.3984375" style="126" bestFit="1" customWidth="1" outlineLevel="1"/>
    <col min="65" max="65" width="11.59765625" style="126" customWidth="1" outlineLevel="1"/>
    <col min="66" max="66" width="11.3984375" style="126" bestFit="1" customWidth="1" outlineLevel="1"/>
    <col min="67" max="67" width="11.3984375" style="126" customWidth="1" outlineLevel="1"/>
    <col min="68" max="68" width="9.3984375" style="126" customWidth="1"/>
    <col min="69" max="69" width="11.3984375" style="126" bestFit="1" customWidth="1" outlineLevel="1"/>
    <col min="70" max="70" width="11.59765625" style="126" customWidth="1" outlineLevel="1"/>
    <col min="71" max="71" width="11.3984375" style="126" bestFit="1" customWidth="1" outlineLevel="1"/>
    <col min="72" max="72" width="11.3984375" style="126" customWidth="1" outlineLevel="1"/>
    <col min="73" max="73" width="9.3984375" style="126"/>
    <col min="74" max="74" width="11.3984375" style="126" hidden="1" customWidth="1" outlineLevel="1"/>
    <col min="75" max="75" width="11.59765625" style="126" hidden="1" customWidth="1" outlineLevel="1"/>
    <col min="76" max="77" width="11.3984375" style="126" hidden="1" customWidth="1" outlineLevel="1"/>
    <col min="78" max="78" width="9.3984375" style="126" collapsed="1"/>
    <col min="79" max="16384" width="9.3984375" style="126"/>
  </cols>
  <sheetData>
    <row r="2" spans="2:58" ht="13.15" hidden="1" outlineLevel="1" thickBot="1">
      <c r="B2" s="640"/>
      <c r="C2" s="640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41"/>
      <c r="Y2" s="641"/>
      <c r="Z2" s="641"/>
      <c r="AA2" s="641"/>
      <c r="AB2" s="641"/>
      <c r="AC2" s="641"/>
      <c r="AD2" s="641"/>
      <c r="AE2" s="641"/>
      <c r="AF2" s="641"/>
      <c r="AG2" s="641"/>
      <c r="AH2" s="641"/>
      <c r="AI2" s="641"/>
      <c r="AJ2" s="641"/>
      <c r="AK2" s="641"/>
      <c r="AL2" s="641"/>
      <c r="AM2" s="641"/>
      <c r="AN2" s="641"/>
      <c r="AO2" s="641"/>
      <c r="AP2" s="641"/>
      <c r="AQ2" s="641"/>
      <c r="AR2" s="641"/>
      <c r="AS2" s="641"/>
      <c r="AT2" s="641"/>
      <c r="AU2" s="641"/>
      <c r="AV2" s="641"/>
      <c r="AW2" s="641"/>
      <c r="AX2" s="641"/>
      <c r="AY2" s="641"/>
      <c r="AZ2" s="641"/>
      <c r="BA2" s="641"/>
      <c r="BB2" s="641"/>
      <c r="BC2" s="641"/>
      <c r="BD2" s="641"/>
      <c r="BE2" s="641"/>
      <c r="BF2" s="641"/>
    </row>
    <row r="3" spans="2:58" ht="17.649999999999999" hidden="1" outlineLevel="1">
      <c r="B3" s="264" t="s">
        <v>232</v>
      </c>
      <c r="C3" s="127"/>
      <c r="AS3" s="683"/>
    </row>
    <row r="4" spans="2:58" s="150" customFormat="1" ht="13.15" hidden="1" outlineLevel="1">
      <c r="B4" s="265" t="s">
        <v>292</v>
      </c>
      <c r="C4" s="265"/>
      <c r="D4" s="266"/>
      <c r="E4" s="267"/>
      <c r="F4" s="268"/>
      <c r="G4" s="268"/>
      <c r="H4" s="269"/>
      <c r="I4" s="266"/>
      <c r="J4" s="267"/>
      <c r="K4" s="268"/>
      <c r="L4" s="268"/>
      <c r="M4" s="269"/>
      <c r="N4" s="266"/>
      <c r="O4" s="267"/>
      <c r="P4" s="268"/>
      <c r="Q4" s="268"/>
      <c r="R4" s="269"/>
      <c r="S4" s="266"/>
      <c r="T4" s="267"/>
      <c r="U4" s="268"/>
      <c r="V4" s="268"/>
      <c r="W4" s="269"/>
      <c r="X4" s="266"/>
      <c r="Y4" s="267"/>
      <c r="Z4" s="268"/>
      <c r="AA4" s="268"/>
      <c r="AB4" s="269"/>
    </row>
    <row r="5" spans="2:58" s="150" customFormat="1" ht="13.15" hidden="1" outlineLevel="1">
      <c r="B5" s="270"/>
      <c r="C5" s="270"/>
      <c r="D5" s="208" t="str">
        <f>+IS!D5</f>
        <v>2012A</v>
      </c>
      <c r="E5" s="209"/>
      <c r="F5" s="210"/>
      <c r="G5" s="210"/>
      <c r="H5" s="211" t="s">
        <v>239</v>
      </c>
      <c r="I5" s="208" t="str">
        <f>+IS!I5</f>
        <v>2013A</v>
      </c>
      <c r="J5" s="209"/>
      <c r="K5" s="210"/>
      <c r="L5" s="210"/>
      <c r="M5" s="211" t="s">
        <v>239</v>
      </c>
      <c r="N5" s="208" t="str">
        <f>+IS!N5</f>
        <v>2014A</v>
      </c>
      <c r="O5" s="209"/>
      <c r="P5" s="210"/>
      <c r="Q5" s="210"/>
      <c r="R5" s="519" t="s">
        <v>239</v>
      </c>
      <c r="S5" s="208" t="str">
        <f>+IS!S5</f>
        <v>2015A</v>
      </c>
      <c r="T5" s="209"/>
      <c r="U5" s="210"/>
      <c r="V5" s="210"/>
      <c r="W5" s="519" t="s">
        <v>239</v>
      </c>
      <c r="X5" s="208" t="str">
        <f>+IS!X5</f>
        <v>2016A</v>
      </c>
      <c r="Y5" s="209"/>
      <c r="Z5" s="210"/>
      <c r="AA5" s="210"/>
      <c r="AB5" s="519" t="s">
        <v>239</v>
      </c>
      <c r="AC5" s="208" t="str">
        <f>+IS!AC5</f>
        <v>2017A</v>
      </c>
      <c r="AD5" s="209"/>
      <c r="AE5" s="210"/>
      <c r="AF5" s="210"/>
      <c r="AG5" s="519" t="s">
        <v>239</v>
      </c>
      <c r="AH5" s="208" t="str">
        <f>+IS!AH5</f>
        <v>2018A</v>
      </c>
      <c r="AI5" s="209"/>
      <c r="AJ5" s="210"/>
      <c r="AK5" s="210"/>
      <c r="AL5" s="519" t="s">
        <v>239</v>
      </c>
      <c r="AM5" s="208" t="str">
        <f>+IS!AM5</f>
        <v>2019A</v>
      </c>
      <c r="AN5" s="209"/>
      <c r="AO5" s="210"/>
      <c r="AP5" s="210"/>
      <c r="AQ5" s="519" t="s">
        <v>239</v>
      </c>
      <c r="AR5" s="208" t="str">
        <f>+IS!AR5</f>
        <v>2020A</v>
      </c>
      <c r="AS5" s="209"/>
      <c r="AT5" s="210"/>
      <c r="AU5" s="210"/>
      <c r="AV5" s="519" t="s">
        <v>239</v>
      </c>
      <c r="AW5" s="208" t="str">
        <f>+IS!AW5</f>
        <v>2021A</v>
      </c>
      <c r="AX5" s="209"/>
      <c r="AY5" s="210"/>
      <c r="AZ5" s="210"/>
      <c r="BA5" s="519" t="s">
        <v>239</v>
      </c>
      <c r="BB5" s="208" t="str">
        <f>+IS!BB5</f>
        <v>2022A</v>
      </c>
      <c r="BC5" s="209"/>
      <c r="BD5" s="210"/>
      <c r="BE5" s="210"/>
      <c r="BF5" s="519" t="s">
        <v>239</v>
      </c>
    </row>
    <row r="6" spans="2:58" s="150" customFormat="1" ht="13.15" hidden="1" outlineLevel="1">
      <c r="B6" s="206" t="s">
        <v>142</v>
      </c>
      <c r="C6" s="211"/>
      <c r="D6" s="211" t="str">
        <f>+IS!D6</f>
        <v>1Q-Mar 12A</v>
      </c>
      <c r="E6" s="211" t="str">
        <f>+IS!E6</f>
        <v>2Q-Jun 12A</v>
      </c>
      <c r="F6" s="211" t="str">
        <f>+IS!F6</f>
        <v>3Q-Sep 12A</v>
      </c>
      <c r="G6" s="211" t="str">
        <f>+IS!G6</f>
        <v>4Q-Dec 12A</v>
      </c>
      <c r="H6" s="211" t="str">
        <f>+IS!H6</f>
        <v>2012A</v>
      </c>
      <c r="I6" s="211" t="str">
        <f>+IS!I6</f>
        <v>1Q-Mar 13A</v>
      </c>
      <c r="J6" s="211" t="str">
        <f>+IS!J6</f>
        <v>2Q-Jun 13A</v>
      </c>
      <c r="K6" s="211" t="str">
        <f>+IS!K6</f>
        <v>3Q-Sep 13A</v>
      </c>
      <c r="L6" s="211" t="str">
        <f>+IS!L6</f>
        <v>4Q-Dec 13A</v>
      </c>
      <c r="M6" s="211" t="str">
        <f>+IS!M6</f>
        <v>2013A</v>
      </c>
      <c r="N6" s="211" t="str">
        <f>+IS!N6</f>
        <v>1Q-Mar 14A</v>
      </c>
      <c r="O6" s="211" t="str">
        <f>+IS!O6</f>
        <v>2Q-Jun 14A</v>
      </c>
      <c r="P6" s="211" t="str">
        <f>+IS!P6</f>
        <v>3Q-Sep 14A</v>
      </c>
      <c r="Q6" s="211" t="str">
        <f>+IS!Q6</f>
        <v>4Q-Dec 14A</v>
      </c>
      <c r="R6" s="519" t="str">
        <f>+IS!R6</f>
        <v>2014A</v>
      </c>
      <c r="S6" s="211" t="str">
        <f>+IS!S6</f>
        <v>1Q-Mar 15A</v>
      </c>
      <c r="T6" s="211" t="str">
        <f>+IS!T6</f>
        <v>2Q-Jun 15A</v>
      </c>
      <c r="U6" s="211" t="str">
        <f>+IS!U6</f>
        <v>3Q-Sep 15A</v>
      </c>
      <c r="V6" s="211" t="str">
        <f>+IS!V6</f>
        <v>4Q-Dec 15A</v>
      </c>
      <c r="W6" s="519" t="str">
        <f>+IS!W6</f>
        <v>2015A</v>
      </c>
      <c r="X6" s="211" t="str">
        <f>+IS!X6</f>
        <v>1Q-Mar 16A</v>
      </c>
      <c r="Y6" s="211" t="str">
        <f>+IS!Y6</f>
        <v>2Q-Jun 16A</v>
      </c>
      <c r="Z6" s="211" t="str">
        <f>+IS!Z6</f>
        <v>3Q-Sep 16A</v>
      </c>
      <c r="AA6" s="211" t="str">
        <f>+IS!AA6</f>
        <v>4Q-Dec 16A</v>
      </c>
      <c r="AB6" s="519" t="str">
        <f>+IS!AB6</f>
        <v>2016A</v>
      </c>
      <c r="AC6" s="211" t="str">
        <f>+IS!AC6</f>
        <v>1Q-Mar 17A</v>
      </c>
      <c r="AD6" s="211" t="str">
        <f>+IS!AD6</f>
        <v>2Q-Jun 17A</v>
      </c>
      <c r="AE6" s="211" t="str">
        <f>+IS!AE6</f>
        <v>3Q-Sep 17A</v>
      </c>
      <c r="AF6" s="211" t="str">
        <f>+IS!AF6</f>
        <v>4Q-Dec 17A</v>
      </c>
      <c r="AG6" s="519" t="str">
        <f>+IS!AG6</f>
        <v>2017A</v>
      </c>
      <c r="AH6" s="211" t="str">
        <f>+IS!AH6</f>
        <v>1Q-Mar 18A</v>
      </c>
      <c r="AI6" s="211" t="str">
        <f>+IS!AI6</f>
        <v>2Q-Jun 18A</v>
      </c>
      <c r="AJ6" s="211" t="str">
        <f>+IS!AJ6</f>
        <v>3Q-Sep 18A</v>
      </c>
      <c r="AK6" s="211" t="str">
        <f>+IS!AK6</f>
        <v>4Q-Dec 18A</v>
      </c>
      <c r="AL6" s="519" t="str">
        <f>+IS!AL6</f>
        <v>2018A</v>
      </c>
      <c r="AM6" s="467" t="str">
        <f>+IS!AM6</f>
        <v>1Q-Mar 19A</v>
      </c>
      <c r="AN6" s="467" t="str">
        <f>+IS!AN6</f>
        <v>2Q-Jun 19A</v>
      </c>
      <c r="AO6" s="467" t="str">
        <f>+IS!AO6</f>
        <v>3Q-Sep 19A</v>
      </c>
      <c r="AP6" s="211" t="str">
        <f>+IS!AP6</f>
        <v>4Q-Dec 19A</v>
      </c>
      <c r="AQ6" s="519" t="str">
        <f>+IS!AQ6</f>
        <v>2019A</v>
      </c>
      <c r="AR6" s="211" t="str">
        <f>+IS!AR6</f>
        <v>1Q-Mar 20A</v>
      </c>
      <c r="AS6" s="211" t="str">
        <f>+IS!AS6</f>
        <v>2Q-Jun 20A</v>
      </c>
      <c r="AT6" s="211" t="str">
        <f>+IS!AT6</f>
        <v>3Q-Sep 20A</v>
      </c>
      <c r="AU6" s="211" t="str">
        <f>+IS!AU6</f>
        <v>4Q-Dec 20A</v>
      </c>
      <c r="AV6" s="519" t="str">
        <f>+IS!AV6</f>
        <v>2020A</v>
      </c>
      <c r="AW6" s="211" t="str">
        <f>+IS!AW6</f>
        <v>1Q-Mar 21A</v>
      </c>
      <c r="AX6" s="211" t="str">
        <f>+IS!AX6</f>
        <v>2Q-Jun 21A</v>
      </c>
      <c r="AY6" s="211" t="str">
        <f>+IS!AY6</f>
        <v>3Q-Sep 21A</v>
      </c>
      <c r="AZ6" s="211" t="str">
        <f>+IS!AZ6</f>
        <v>4Q-Dec 21A</v>
      </c>
      <c r="BA6" s="519" t="str">
        <f>+IS!BA6</f>
        <v>2021A</v>
      </c>
      <c r="BB6" s="211" t="str">
        <f>+IS!BB6</f>
        <v>1Q-Mar 22A</v>
      </c>
      <c r="BC6" s="211" t="str">
        <f>+IS!BC6</f>
        <v>2Q-Jun 22A</v>
      </c>
      <c r="BD6" s="211" t="str">
        <f>+IS!BD6</f>
        <v>3Q-Sep 22A</v>
      </c>
      <c r="BE6" s="211" t="str">
        <f>+IS!BE6</f>
        <v>4Q-Dec 22A</v>
      </c>
      <c r="BF6" s="519" t="str">
        <f>+IS!BF6</f>
        <v>2022A</v>
      </c>
    </row>
    <row r="7" spans="2:58" s="150" customFormat="1" hidden="1" outlineLevel="1">
      <c r="R7" s="576"/>
      <c r="W7" s="576"/>
      <c r="AB7" s="576"/>
      <c r="AG7" s="576"/>
      <c r="AL7" s="576"/>
      <c r="AM7" s="468"/>
      <c r="AN7" s="468"/>
      <c r="AO7" s="468"/>
      <c r="AQ7" s="576"/>
      <c r="AV7" s="576"/>
      <c r="BA7" s="576"/>
      <c r="BF7" s="576"/>
    </row>
    <row r="8" spans="2:58" s="150" customFormat="1" ht="13.15" hidden="1" outlineLevel="1">
      <c r="B8" s="151" t="s">
        <v>382</v>
      </c>
      <c r="C8" s="152"/>
      <c r="D8" s="153">
        <f t="shared" ref="D8:F9" si="0">+D$34*D14</f>
        <v>18648.080000000002</v>
      </c>
      <c r="E8" s="153">
        <f t="shared" si="0"/>
        <v>19527.2</v>
      </c>
      <c r="F8" s="153">
        <f t="shared" si="0"/>
        <v>20108.52</v>
      </c>
      <c r="G8" s="153">
        <f>H8-SUM(D8:F8)</f>
        <v>20337.399999999994</v>
      </c>
      <c r="H8" s="153">
        <f t="shared" ref="H8:K9" si="1">+H$34*H14</f>
        <v>78621.2</v>
      </c>
      <c r="I8" s="153">
        <f t="shared" si="1"/>
        <v>21150.55</v>
      </c>
      <c r="J8" s="153">
        <f t="shared" si="1"/>
        <v>22347.35</v>
      </c>
      <c r="K8" s="153">
        <f t="shared" si="1"/>
        <v>23031.67</v>
      </c>
      <c r="L8" s="153">
        <f>M8-SUM(I8:K8)</f>
        <v>23078.890000000014</v>
      </c>
      <c r="M8" s="153">
        <f t="shared" ref="M8:P9" si="2">+M$34*M14</f>
        <v>89608.46</v>
      </c>
      <c r="N8" s="153">
        <f t="shared" si="2"/>
        <v>25195.48</v>
      </c>
      <c r="O8" s="153">
        <f t="shared" si="2"/>
        <v>26164.620000000003</v>
      </c>
      <c r="P8" s="153">
        <f t="shared" si="2"/>
        <v>28165.359999999997</v>
      </c>
      <c r="Q8" s="153">
        <f>R8-SUM(N8:P8)</f>
        <v>27337.740000000005</v>
      </c>
      <c r="R8" s="577">
        <f t="shared" ref="R8:U9" si="3">+R$34*R14</f>
        <v>106863.20000000001</v>
      </c>
      <c r="S8" s="153">
        <f t="shared" si="3"/>
        <v>29619.47</v>
      </c>
      <c r="T8" s="153">
        <f t="shared" si="3"/>
        <v>31502.83</v>
      </c>
      <c r="U8" s="153">
        <f t="shared" si="3"/>
        <v>33550.51</v>
      </c>
      <c r="V8" s="153">
        <f>W8-SUM(S8:U8)</f>
        <v>31825.87000000001</v>
      </c>
      <c r="W8" s="577">
        <f t="shared" ref="W8:Z9" si="4">+W$34*W14</f>
        <v>126498.68000000001</v>
      </c>
      <c r="X8" s="153">
        <f t="shared" si="4"/>
        <v>36535.919999999998</v>
      </c>
      <c r="Y8" s="153">
        <f t="shared" si="4"/>
        <v>38288.14</v>
      </c>
      <c r="Z8" s="153">
        <f t="shared" si="4"/>
        <v>40279.730000000003</v>
      </c>
      <c r="AA8" s="153">
        <f>AB8-SUM(X8:Z8)</f>
        <v>35319.209999999992</v>
      </c>
      <c r="AB8" s="577">
        <f t="shared" ref="AB8:AE9" si="5">+AB$34*AB14</f>
        <v>150423</v>
      </c>
      <c r="AC8" s="153">
        <f t="shared" si="5"/>
        <v>39840.75</v>
      </c>
      <c r="AD8" s="153">
        <f t="shared" si="5"/>
        <v>41476.5</v>
      </c>
      <c r="AE8" s="153">
        <f t="shared" si="5"/>
        <v>44617.5</v>
      </c>
      <c r="AF8" s="153">
        <f>AG8-SUM(AC8:AE8)</f>
        <v>44877.97</v>
      </c>
      <c r="AG8" s="577">
        <f t="shared" ref="AG8:AJ9" si="6">+AG$34*AG14</f>
        <v>170812.72</v>
      </c>
      <c r="AH8" s="153">
        <f t="shared" si="6"/>
        <v>48009.72</v>
      </c>
      <c r="AI8" s="153">
        <f t="shared" si="6"/>
        <v>50433.22</v>
      </c>
      <c r="AJ8" s="153">
        <f t="shared" si="6"/>
        <v>53026.92</v>
      </c>
      <c r="AK8" s="153">
        <f>AL8-SUM(AH8:AJ8)</f>
        <v>54908</v>
      </c>
      <c r="AL8" s="577">
        <f t="shared" ref="AL8:AN9" si="7">+AL$34*AL14</f>
        <v>206377.86</v>
      </c>
      <c r="AM8" s="469">
        <f t="shared" si="7"/>
        <v>55000.39</v>
      </c>
      <c r="AN8" s="469">
        <f t="shared" si="7"/>
        <v>57618.17</v>
      </c>
      <c r="AO8" s="469">
        <f t="shared" ref="AO8" si="8">+AO$34*AO14</f>
        <v>60349.83</v>
      </c>
      <c r="AP8" s="153">
        <f>+AP14*AP34</f>
        <v>61804.72</v>
      </c>
      <c r="AQ8" s="577">
        <f>SUM(AM8:AP8)</f>
        <v>234773.11000000002</v>
      </c>
      <c r="AR8" s="153">
        <f>+AR14*AR34</f>
        <v>62971.99</v>
      </c>
      <c r="AS8" s="153">
        <f>+AS14*AS34</f>
        <v>63069.299999999996</v>
      </c>
      <c r="AT8" s="153">
        <f>+AT14*AT34</f>
        <v>67009.679999999993</v>
      </c>
      <c r="AU8" s="153" t="e">
        <f>+AU14*AU34</f>
        <v>#VALUE!</v>
      </c>
      <c r="AV8" s="577" t="e">
        <f>SUM(AR8:AU8)</f>
        <v>#VALUE!</v>
      </c>
      <c r="AW8" s="153" t="e">
        <f>+AW14*AW34</f>
        <v>#VALUE!</v>
      </c>
      <c r="AX8" s="153" t="e">
        <f>+AX14*AX34</f>
        <v>#VALUE!</v>
      </c>
      <c r="AY8" s="153">
        <f>+AY14*AY34</f>
        <v>0</v>
      </c>
      <c r="AZ8" s="153">
        <f>+AZ14*AZ34</f>
        <v>0</v>
      </c>
      <c r="BA8" s="577" t="e">
        <f>SUM(AW8:AZ8)</f>
        <v>#VALUE!</v>
      </c>
      <c r="BB8" s="153">
        <f>+BB14*BB34</f>
        <v>0</v>
      </c>
      <c r="BC8" s="153">
        <f>+BC14*BC34</f>
        <v>0</v>
      </c>
      <c r="BD8" s="153">
        <f>+BD14*BD34</f>
        <v>0</v>
      </c>
      <c r="BE8" s="153">
        <f>+BE14*BE34</f>
        <v>0</v>
      </c>
      <c r="BF8" s="577">
        <f>SUM(BB8:BE8)</f>
        <v>0</v>
      </c>
    </row>
    <row r="9" spans="2:58" s="150" customFormat="1" ht="13.15" hidden="1" outlineLevel="1">
      <c r="B9" s="151" t="s">
        <v>383</v>
      </c>
      <c r="C9" s="152"/>
      <c r="D9" s="153">
        <f t="shared" si="0"/>
        <v>2542.92</v>
      </c>
      <c r="E9" s="153">
        <f t="shared" si="0"/>
        <v>2662.7999999999997</v>
      </c>
      <c r="F9" s="153">
        <f t="shared" si="0"/>
        <v>3273.4800000000005</v>
      </c>
      <c r="G9" s="153">
        <f>H9-SUM(D9:F9)</f>
        <v>4319.6000000000004</v>
      </c>
      <c r="H9" s="153">
        <f t="shared" si="1"/>
        <v>12798.800000000001</v>
      </c>
      <c r="I9" s="153">
        <f t="shared" si="1"/>
        <v>3732.45</v>
      </c>
      <c r="J9" s="153">
        <f t="shared" si="1"/>
        <v>3943.6499999999996</v>
      </c>
      <c r="K9" s="153">
        <f t="shared" si="1"/>
        <v>4717.33</v>
      </c>
      <c r="L9" s="153">
        <f>M9-SUM(I9:K9)</f>
        <v>5960.1100000000042</v>
      </c>
      <c r="M9" s="153">
        <f t="shared" si="2"/>
        <v>18353.540000000005</v>
      </c>
      <c r="N9" s="153">
        <f t="shared" si="2"/>
        <v>5160.5200000000004</v>
      </c>
      <c r="O9" s="153">
        <f t="shared" si="2"/>
        <v>6137.38</v>
      </c>
      <c r="P9" s="153">
        <f t="shared" si="2"/>
        <v>6182.6399999999994</v>
      </c>
      <c r="Q9" s="153">
        <f>R9-SUM(N9:P9)</f>
        <v>9235.260000000002</v>
      </c>
      <c r="R9" s="577">
        <f t="shared" si="3"/>
        <v>26715.800000000003</v>
      </c>
      <c r="S9" s="153">
        <f t="shared" si="3"/>
        <v>7873.53</v>
      </c>
      <c r="T9" s="153">
        <f t="shared" si="3"/>
        <v>8374.17</v>
      </c>
      <c r="U9" s="153">
        <f t="shared" si="3"/>
        <v>8918.49</v>
      </c>
      <c r="V9" s="153">
        <f>W9-SUM(S9:U9)</f>
        <v>12619.129999999997</v>
      </c>
      <c r="W9" s="577">
        <f t="shared" si="4"/>
        <v>37785.32</v>
      </c>
      <c r="X9" s="153">
        <f t="shared" si="4"/>
        <v>9712.08</v>
      </c>
      <c r="Y9" s="153">
        <f t="shared" si="4"/>
        <v>10177.859999999999</v>
      </c>
      <c r="Z9" s="153">
        <f t="shared" si="4"/>
        <v>10707.27</v>
      </c>
      <c r="AA9" s="153">
        <f>AB9-SUM(X9:Z9)</f>
        <v>16904.79</v>
      </c>
      <c r="AB9" s="577">
        <f t="shared" si="5"/>
        <v>47502</v>
      </c>
      <c r="AC9" s="153">
        <f t="shared" si="5"/>
        <v>13280.25</v>
      </c>
      <c r="AD9" s="153">
        <f t="shared" si="5"/>
        <v>13825.5</v>
      </c>
      <c r="AE9" s="153">
        <f t="shared" si="5"/>
        <v>14872.5</v>
      </c>
      <c r="AF9" s="153">
        <f>AG9-SUM(AC9:AE9)</f>
        <v>20345.310000000005</v>
      </c>
      <c r="AG9" s="577">
        <f t="shared" si="6"/>
        <v>62323.560000000005</v>
      </c>
      <c r="AH9" s="153">
        <f t="shared" si="6"/>
        <v>16868.28</v>
      </c>
      <c r="AI9" s="153">
        <f t="shared" si="6"/>
        <v>17719.78</v>
      </c>
      <c r="AJ9" s="153">
        <f t="shared" si="6"/>
        <v>18631.080000000002</v>
      </c>
      <c r="AK9" s="153">
        <f>AL9-SUM(AH9:AJ9)</f>
        <v>19292</v>
      </c>
      <c r="AL9" s="577">
        <f t="shared" si="7"/>
        <v>72511.14</v>
      </c>
      <c r="AM9" s="469">
        <f t="shared" si="7"/>
        <v>20342.61</v>
      </c>
      <c r="AN9" s="469">
        <f t="shared" si="7"/>
        <v>21310.83</v>
      </c>
      <c r="AO9" s="469">
        <f t="shared" ref="AO9" si="9">+AO$34*AO15</f>
        <v>22321.170000000002</v>
      </c>
      <c r="AP9" s="153">
        <f>+AP34-AP8</f>
        <v>22859.279999999999</v>
      </c>
      <c r="AQ9" s="577">
        <f>SUM(AM9:AP9)</f>
        <v>86833.89</v>
      </c>
      <c r="AR9" s="153">
        <f>+AR34-AR8</f>
        <v>23291.010000000002</v>
      </c>
      <c r="AS9" s="153">
        <f>+AS34-AS8</f>
        <v>25760.700000000004</v>
      </c>
      <c r="AT9" s="153">
        <f>+AT34-AT8</f>
        <v>26059.320000000007</v>
      </c>
      <c r="AU9" s="153" t="e">
        <f>+AU34-AU8</f>
        <v>#VALUE!</v>
      </c>
      <c r="AV9" s="577" t="e">
        <f>SUM(AR9:AU9)</f>
        <v>#VALUE!</v>
      </c>
      <c r="AW9" s="153" t="e">
        <f>+AW34-AW8</f>
        <v>#VALUE!</v>
      </c>
      <c r="AX9" s="153" t="e">
        <f>+AX34-AX8</f>
        <v>#VALUE!</v>
      </c>
      <c r="AY9" s="153">
        <f>+AY34-AY8</f>
        <v>104934</v>
      </c>
      <c r="AZ9" s="153">
        <f>+AZ34-AZ8</f>
        <v>109780</v>
      </c>
      <c r="BA9" s="577" t="e">
        <f>SUM(AW9:AZ9)</f>
        <v>#VALUE!</v>
      </c>
      <c r="BB9" s="153">
        <f>+BB34-BB8</f>
        <v>113420</v>
      </c>
      <c r="BC9" s="153">
        <f>+BC34-BC8</f>
        <v>119893</v>
      </c>
      <c r="BD9" s="153">
        <f>+BD34-BD8</f>
        <v>125561</v>
      </c>
      <c r="BE9" s="153">
        <f>+BE34-BE8</f>
        <v>130849</v>
      </c>
      <c r="BF9" s="577">
        <f>SUM(BB9:BE9)</f>
        <v>489723</v>
      </c>
    </row>
    <row r="10" spans="2:58" s="150" customFormat="1" ht="8.25" hidden="1" customHeight="1" outlineLevel="1">
      <c r="B10" s="155"/>
      <c r="C10" s="156"/>
      <c r="D10" s="271" t="s">
        <v>131</v>
      </c>
      <c r="E10" s="271" t="s">
        <v>131</v>
      </c>
      <c r="F10" s="271" t="s">
        <v>131</v>
      </c>
      <c r="G10" s="271" t="s">
        <v>131</v>
      </c>
      <c r="H10" s="271" t="s">
        <v>131</v>
      </c>
      <c r="I10" s="271" t="s">
        <v>131</v>
      </c>
      <c r="J10" s="271" t="s">
        <v>131</v>
      </c>
      <c r="K10" s="271" t="s">
        <v>131</v>
      </c>
      <c r="L10" s="271" t="s">
        <v>131</v>
      </c>
      <c r="M10" s="271" t="s">
        <v>131</v>
      </c>
      <c r="N10" s="271" t="s">
        <v>131</v>
      </c>
      <c r="O10" s="271" t="s">
        <v>131</v>
      </c>
      <c r="P10" s="271" t="s">
        <v>131</v>
      </c>
      <c r="Q10" s="271" t="s">
        <v>131</v>
      </c>
      <c r="R10" s="547" t="s">
        <v>131</v>
      </c>
      <c r="S10" s="271" t="s">
        <v>131</v>
      </c>
      <c r="T10" s="271" t="s">
        <v>131</v>
      </c>
      <c r="U10" s="271" t="s">
        <v>131</v>
      </c>
      <c r="V10" s="271" t="s">
        <v>131</v>
      </c>
      <c r="W10" s="547" t="s">
        <v>131</v>
      </c>
      <c r="X10" s="271" t="s">
        <v>131</v>
      </c>
      <c r="Y10" s="271" t="s">
        <v>131</v>
      </c>
      <c r="Z10" s="271" t="s">
        <v>131</v>
      </c>
      <c r="AA10" s="271" t="s">
        <v>131</v>
      </c>
      <c r="AB10" s="547" t="s">
        <v>131</v>
      </c>
      <c r="AC10" s="271" t="s">
        <v>131</v>
      </c>
      <c r="AD10" s="271" t="s">
        <v>131</v>
      </c>
      <c r="AE10" s="271" t="s">
        <v>131</v>
      </c>
      <c r="AF10" s="271" t="s">
        <v>131</v>
      </c>
      <c r="AG10" s="547" t="s">
        <v>131</v>
      </c>
      <c r="AH10" s="271" t="s">
        <v>131</v>
      </c>
      <c r="AI10" s="271" t="s">
        <v>131</v>
      </c>
      <c r="AJ10" s="271" t="s">
        <v>131</v>
      </c>
      <c r="AK10" s="271" t="s">
        <v>131</v>
      </c>
      <c r="AL10" s="547" t="s">
        <v>131</v>
      </c>
      <c r="AM10" s="271" t="s">
        <v>131</v>
      </c>
      <c r="AN10" s="271" t="s">
        <v>131</v>
      </c>
      <c r="AO10" s="271" t="s">
        <v>131</v>
      </c>
      <c r="AP10" s="271" t="s">
        <v>131</v>
      </c>
      <c r="AQ10" s="547" t="s">
        <v>131</v>
      </c>
      <c r="AR10" s="271" t="s">
        <v>131</v>
      </c>
      <c r="AS10" s="271" t="s">
        <v>131</v>
      </c>
      <c r="AT10" s="271" t="s">
        <v>131</v>
      </c>
      <c r="AU10" s="271" t="s">
        <v>131</v>
      </c>
      <c r="AV10" s="547" t="s">
        <v>131</v>
      </c>
      <c r="AW10" s="271" t="s">
        <v>131</v>
      </c>
      <c r="AX10" s="271" t="s">
        <v>131</v>
      </c>
      <c r="AY10" s="271" t="s">
        <v>131</v>
      </c>
      <c r="AZ10" s="271" t="s">
        <v>131</v>
      </c>
      <c r="BA10" s="547" t="s">
        <v>131</v>
      </c>
      <c r="BB10" s="271" t="s">
        <v>131</v>
      </c>
      <c r="BC10" s="271" t="s">
        <v>131</v>
      </c>
      <c r="BD10" s="271" t="s">
        <v>131</v>
      </c>
      <c r="BE10" s="271" t="s">
        <v>131</v>
      </c>
      <c r="BF10" s="547" t="s">
        <v>131</v>
      </c>
    </row>
    <row r="11" spans="2:58" s="150" customFormat="1" hidden="1" outlineLevel="1">
      <c r="B11" s="150" t="s">
        <v>130</v>
      </c>
      <c r="D11" s="154">
        <f t="shared" ref="D11:H11" si="10">SUM(D8:D9)</f>
        <v>21191</v>
      </c>
      <c r="E11" s="154">
        <f t="shared" si="10"/>
        <v>22190</v>
      </c>
      <c r="F11" s="154">
        <f t="shared" si="10"/>
        <v>23382</v>
      </c>
      <c r="G11" s="154">
        <f t="shared" si="10"/>
        <v>24656.999999999993</v>
      </c>
      <c r="H11" s="154">
        <f t="shared" si="10"/>
        <v>91420</v>
      </c>
      <c r="I11" s="154">
        <f t="shared" ref="I11:AK11" si="11">SUM(I8:I9)</f>
        <v>24883</v>
      </c>
      <c r="J11" s="154">
        <f t="shared" si="11"/>
        <v>26291</v>
      </c>
      <c r="K11" s="154">
        <f t="shared" si="11"/>
        <v>27749</v>
      </c>
      <c r="L11" s="154">
        <f t="shared" si="11"/>
        <v>29039.000000000018</v>
      </c>
      <c r="M11" s="154">
        <f t="shared" si="11"/>
        <v>107962.00000000001</v>
      </c>
      <c r="N11" s="154">
        <f t="shared" si="11"/>
        <v>30356</v>
      </c>
      <c r="O11" s="154">
        <f t="shared" si="11"/>
        <v>32302.000000000004</v>
      </c>
      <c r="P11" s="154">
        <f t="shared" si="11"/>
        <v>34348</v>
      </c>
      <c r="Q11" s="154">
        <f t="shared" si="11"/>
        <v>36573.000000000007</v>
      </c>
      <c r="R11" s="578">
        <f t="shared" si="11"/>
        <v>133579</v>
      </c>
      <c r="S11" s="154">
        <f t="shared" si="11"/>
        <v>37493</v>
      </c>
      <c r="T11" s="154">
        <f t="shared" si="11"/>
        <v>39877</v>
      </c>
      <c r="U11" s="154">
        <f t="shared" si="11"/>
        <v>42469</v>
      </c>
      <c r="V11" s="154">
        <f t="shared" si="11"/>
        <v>44445.000000000007</v>
      </c>
      <c r="W11" s="578">
        <f t="shared" ref="W11:X11" si="12">SUM(W8:W9)</f>
        <v>164284</v>
      </c>
      <c r="X11" s="154">
        <f t="shared" si="12"/>
        <v>46248</v>
      </c>
      <c r="Y11" s="154">
        <f t="shared" si="11"/>
        <v>48466</v>
      </c>
      <c r="Z11" s="154">
        <f t="shared" si="11"/>
        <v>50987</v>
      </c>
      <c r="AA11" s="154">
        <f t="shared" si="11"/>
        <v>52223.999999999993</v>
      </c>
      <c r="AB11" s="578">
        <f t="shared" ref="AB11:AC11" si="13">SUM(AB8:AB9)</f>
        <v>197925</v>
      </c>
      <c r="AC11" s="154">
        <f t="shared" si="13"/>
        <v>53121</v>
      </c>
      <c r="AD11" s="154">
        <f t="shared" si="11"/>
        <v>55302</v>
      </c>
      <c r="AE11" s="154">
        <f t="shared" si="11"/>
        <v>59490</v>
      </c>
      <c r="AF11" s="154">
        <f t="shared" si="11"/>
        <v>65223.280000000006</v>
      </c>
      <c r="AG11" s="578">
        <f t="shared" ref="AG11" si="14">SUM(AG8:AG9)</f>
        <v>233136.28</v>
      </c>
      <c r="AH11" s="154">
        <f t="shared" si="11"/>
        <v>64878</v>
      </c>
      <c r="AI11" s="154">
        <f t="shared" si="11"/>
        <v>68153</v>
      </c>
      <c r="AJ11" s="154">
        <f t="shared" si="11"/>
        <v>71658</v>
      </c>
      <c r="AK11" s="154">
        <f t="shared" si="11"/>
        <v>74200</v>
      </c>
      <c r="AL11" s="578">
        <f t="shared" ref="AL11:AP11" si="15">SUM(AL8:AL9)</f>
        <v>278889</v>
      </c>
      <c r="AM11" s="154">
        <f t="shared" si="15"/>
        <v>75343</v>
      </c>
      <c r="AN11" s="154">
        <f t="shared" si="15"/>
        <v>78929</v>
      </c>
      <c r="AO11" s="154">
        <f t="shared" si="15"/>
        <v>82671</v>
      </c>
      <c r="AP11" s="154">
        <f t="shared" si="15"/>
        <v>84664</v>
      </c>
      <c r="AQ11" s="578">
        <f t="shared" ref="AQ11:AU11" si="16">SUM(AQ8:AQ9)</f>
        <v>321607</v>
      </c>
      <c r="AR11" s="154">
        <f t="shared" si="16"/>
        <v>86263</v>
      </c>
      <c r="AS11" s="154">
        <f t="shared" si="16"/>
        <v>88830</v>
      </c>
      <c r="AT11" s="154">
        <f t="shared" si="16"/>
        <v>93069</v>
      </c>
      <c r="AU11" s="154" t="e">
        <f t="shared" si="16"/>
        <v>#VALUE!</v>
      </c>
      <c r="AV11" s="578" t="e">
        <f t="shared" ref="AV11:AZ11" si="17">SUM(AV8:AV9)</f>
        <v>#VALUE!</v>
      </c>
      <c r="AW11" s="154" t="e">
        <f t="shared" si="17"/>
        <v>#VALUE!</v>
      </c>
      <c r="AX11" s="154" t="e">
        <f t="shared" si="17"/>
        <v>#VALUE!</v>
      </c>
      <c r="AY11" s="154">
        <f t="shared" si="17"/>
        <v>104934</v>
      </c>
      <c r="AZ11" s="154">
        <f t="shared" si="17"/>
        <v>109780</v>
      </c>
      <c r="BA11" s="578" t="e">
        <f t="shared" ref="BA11:BE11" si="18">SUM(BA8:BA9)</f>
        <v>#VALUE!</v>
      </c>
      <c r="BB11" s="154">
        <f t="shared" si="18"/>
        <v>113420</v>
      </c>
      <c r="BC11" s="154">
        <f t="shared" si="18"/>
        <v>119893</v>
      </c>
      <c r="BD11" s="154">
        <f t="shared" si="18"/>
        <v>125561</v>
      </c>
      <c r="BE11" s="154">
        <f t="shared" si="18"/>
        <v>130849</v>
      </c>
      <c r="BF11" s="578">
        <f t="shared" ref="BF11" si="19">SUM(BF8:BF9)</f>
        <v>489723</v>
      </c>
    </row>
    <row r="12" spans="2:58" s="150" customFormat="1" ht="13.15" hidden="1" outlineLevel="1">
      <c r="B12" s="151"/>
      <c r="C12" s="152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577"/>
      <c r="S12" s="153"/>
      <c r="T12" s="157"/>
      <c r="U12" s="157"/>
      <c r="V12" s="157"/>
      <c r="W12" s="579"/>
      <c r="X12" s="153"/>
      <c r="Y12" s="157"/>
      <c r="Z12" s="157"/>
      <c r="AA12" s="157"/>
      <c r="AB12" s="579"/>
      <c r="AC12" s="153"/>
      <c r="AD12" s="157"/>
      <c r="AE12" s="157"/>
      <c r="AF12" s="157"/>
      <c r="AG12" s="579"/>
      <c r="AH12" s="153"/>
      <c r="AI12" s="157"/>
      <c r="AJ12" s="157"/>
      <c r="AK12" s="157"/>
      <c r="AL12" s="579"/>
      <c r="AM12" s="153"/>
      <c r="AN12" s="157"/>
      <c r="AO12" s="157"/>
      <c r="AP12" s="157"/>
      <c r="AQ12" s="579"/>
      <c r="AR12" s="153"/>
      <c r="AS12" s="672"/>
      <c r="AT12" s="157"/>
      <c r="AU12" s="157"/>
      <c r="AV12" s="579"/>
      <c r="AW12" s="153"/>
      <c r="AX12" s="157"/>
      <c r="AY12" s="157"/>
      <c r="AZ12" s="157"/>
      <c r="BA12" s="579"/>
      <c r="BB12" s="153"/>
      <c r="BC12" s="157"/>
      <c r="BD12" s="157"/>
      <c r="BE12" s="157"/>
      <c r="BF12" s="579"/>
    </row>
    <row r="13" spans="2:58" s="150" customFormat="1" ht="13.15" hidden="1" outlineLevel="1">
      <c r="B13" s="150" t="s">
        <v>132</v>
      </c>
      <c r="C13" s="152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580"/>
      <c r="S13" s="158"/>
      <c r="T13" s="158"/>
      <c r="U13" s="158"/>
      <c r="V13" s="158"/>
      <c r="W13" s="580"/>
      <c r="X13" s="158"/>
      <c r="Y13" s="158"/>
      <c r="Z13" s="158"/>
      <c r="AA13" s="158"/>
      <c r="AB13" s="580"/>
      <c r="AC13" s="158"/>
      <c r="AD13" s="158"/>
      <c r="AE13" s="158"/>
      <c r="AF13" s="158"/>
      <c r="AG13" s="580"/>
      <c r="AH13" s="158"/>
      <c r="AI13" s="158"/>
      <c r="AJ13" s="158"/>
      <c r="AK13" s="158"/>
      <c r="AL13" s="580"/>
      <c r="AM13" s="158"/>
      <c r="AN13" s="158"/>
      <c r="AO13" s="158"/>
      <c r="AP13" s="158"/>
      <c r="AQ13" s="580"/>
      <c r="AR13" s="158"/>
      <c r="AS13" s="672" t="s">
        <v>413</v>
      </c>
      <c r="AT13" s="158"/>
      <c r="AU13" s="158"/>
      <c r="AV13" s="580"/>
      <c r="AW13" s="158"/>
      <c r="AX13" s="158"/>
      <c r="AY13" s="158"/>
      <c r="AZ13" s="158"/>
      <c r="BA13" s="580"/>
      <c r="BB13" s="158"/>
      <c r="BC13" s="158"/>
      <c r="BD13" s="158"/>
      <c r="BE13" s="158"/>
      <c r="BF13" s="580"/>
    </row>
    <row r="14" spans="2:58" s="150" customFormat="1" ht="13.15" hidden="1" outlineLevel="1">
      <c r="B14" s="151" t="str">
        <f>+B$8</f>
        <v>VM Solutions Revenue</v>
      </c>
      <c r="C14" s="159"/>
      <c r="D14" s="158">
        <v>0.88</v>
      </c>
      <c r="E14" s="158">
        <v>0.88</v>
      </c>
      <c r="F14" s="158">
        <v>0.86</v>
      </c>
      <c r="G14" s="158">
        <f>+G8/G34</f>
        <v>0.82481242649146258</v>
      </c>
      <c r="H14" s="158">
        <v>0.86</v>
      </c>
      <c r="I14" s="158">
        <v>0.85</v>
      </c>
      <c r="J14" s="158">
        <v>0.85</v>
      </c>
      <c r="K14" s="158">
        <v>0.83</v>
      </c>
      <c r="L14" s="158">
        <f>+L8/L34</f>
        <v>0.79475498467578098</v>
      </c>
      <c r="M14" s="158">
        <v>0.83</v>
      </c>
      <c r="N14" s="158">
        <v>0.83</v>
      </c>
      <c r="O14" s="158">
        <v>0.81</v>
      </c>
      <c r="P14" s="158">
        <v>0.82</v>
      </c>
      <c r="Q14" s="158">
        <f>+Q8/Q34</f>
        <v>0.74748420966286622</v>
      </c>
      <c r="R14" s="580">
        <v>0.8</v>
      </c>
      <c r="S14" s="158">
        <v>0.79</v>
      </c>
      <c r="T14" s="158">
        <v>0.79</v>
      </c>
      <c r="U14" s="158">
        <v>0.79</v>
      </c>
      <c r="V14" s="158">
        <f>+V8/V34</f>
        <v>0.71607312408594914</v>
      </c>
      <c r="W14" s="580">
        <v>0.77</v>
      </c>
      <c r="X14" s="158">
        <v>0.79</v>
      </c>
      <c r="Y14" s="158">
        <v>0.79</v>
      </c>
      <c r="Z14" s="158">
        <v>0.79</v>
      </c>
      <c r="AA14" s="158">
        <f>+AA8/AA34</f>
        <v>0.67630227481617633</v>
      </c>
      <c r="AB14" s="580">
        <v>0.76</v>
      </c>
      <c r="AC14" s="158">
        <v>0.75</v>
      </c>
      <c r="AD14" s="158">
        <v>0.75</v>
      </c>
      <c r="AE14" s="158">
        <v>0.75</v>
      </c>
      <c r="AF14" s="158">
        <f>+AF8/AF34</f>
        <v>0.71331113406977675</v>
      </c>
      <c r="AG14" s="580">
        <v>0.74</v>
      </c>
      <c r="AH14" s="326">
        <v>0.74</v>
      </c>
      <c r="AI14" s="326">
        <v>0.74</v>
      </c>
      <c r="AJ14" s="326">
        <v>0.74</v>
      </c>
      <c r="AK14" s="326">
        <f>+AK8/AK34</f>
        <v>0.74</v>
      </c>
      <c r="AL14" s="580">
        <v>0.74</v>
      </c>
      <c r="AM14" s="326">
        <v>0.73</v>
      </c>
      <c r="AN14" s="326">
        <v>0.73</v>
      </c>
      <c r="AO14" s="326">
        <v>0.73</v>
      </c>
      <c r="AP14" s="326">
        <v>0.73</v>
      </c>
      <c r="AQ14" s="580">
        <f>+AQ8/AQ$34</f>
        <v>0.73000000000000009</v>
      </c>
      <c r="AR14" s="685">
        <v>0.73</v>
      </c>
      <c r="AS14" s="684">
        <v>0.71</v>
      </c>
      <c r="AT14" s="684">
        <v>0.72</v>
      </c>
      <c r="AU14" s="673" t="s">
        <v>424</v>
      </c>
      <c r="AV14" s="674"/>
      <c r="AW14" s="673" t="s">
        <v>424</v>
      </c>
      <c r="AX14" s="673" t="s">
        <v>424</v>
      </c>
      <c r="AY14" s="673"/>
      <c r="AZ14" s="673"/>
      <c r="BA14" s="674"/>
      <c r="BB14" s="673"/>
      <c r="BC14" s="673"/>
      <c r="BD14" s="673"/>
      <c r="BE14" s="673"/>
      <c r="BF14" s="674"/>
    </row>
    <row r="15" spans="2:58" s="150" customFormat="1" ht="13.15" hidden="1" outlineLevel="1">
      <c r="B15" s="151" t="str">
        <f>+B$9</f>
        <v>Other Security Revenue</v>
      </c>
      <c r="C15" s="159"/>
      <c r="D15" s="158">
        <v>0.12</v>
      </c>
      <c r="E15" s="158">
        <v>0.12</v>
      </c>
      <c r="F15" s="158">
        <v>0.14000000000000001</v>
      </c>
      <c r="G15" s="158">
        <f>+G9/G34</f>
        <v>0.17518757350853714</v>
      </c>
      <c r="H15" s="158">
        <v>0.14000000000000001</v>
      </c>
      <c r="I15" s="158">
        <v>0.15</v>
      </c>
      <c r="J15" s="158">
        <v>0.15</v>
      </c>
      <c r="K15" s="158">
        <v>0.17</v>
      </c>
      <c r="L15" s="158">
        <f>+L9/L34</f>
        <v>0.20524501532421921</v>
      </c>
      <c r="M15" s="158">
        <v>0.17</v>
      </c>
      <c r="N15" s="158">
        <v>0.17</v>
      </c>
      <c r="O15" s="158">
        <v>0.19</v>
      </c>
      <c r="P15" s="158">
        <v>0.18</v>
      </c>
      <c r="Q15" s="158">
        <f>+Q9/Q34</f>
        <v>0.25251579033713401</v>
      </c>
      <c r="R15" s="580">
        <v>0.2</v>
      </c>
      <c r="S15" s="158">
        <v>0.21</v>
      </c>
      <c r="T15" s="158">
        <v>0.21</v>
      </c>
      <c r="U15" s="158">
        <v>0.21</v>
      </c>
      <c r="V15" s="158">
        <f>+V9/V34</f>
        <v>0.28392687591405102</v>
      </c>
      <c r="W15" s="580">
        <v>0.23</v>
      </c>
      <c r="X15" s="158">
        <v>0.21</v>
      </c>
      <c r="Y15" s="158">
        <v>0.21</v>
      </c>
      <c r="Z15" s="158">
        <v>0.21</v>
      </c>
      <c r="AA15" s="158">
        <f>+AA9/AA34</f>
        <v>0.32369772518382356</v>
      </c>
      <c r="AB15" s="580">
        <v>0.24</v>
      </c>
      <c r="AC15" s="158">
        <v>0.25</v>
      </c>
      <c r="AD15" s="158">
        <v>0.25</v>
      </c>
      <c r="AE15" s="158">
        <v>0.25</v>
      </c>
      <c r="AF15" s="158">
        <f>+AF9/AF34</f>
        <v>0.32337773186044672</v>
      </c>
      <c r="AG15" s="580">
        <v>0.27</v>
      </c>
      <c r="AH15" s="326">
        <v>0.26</v>
      </c>
      <c r="AI15" s="326">
        <v>0.26</v>
      </c>
      <c r="AJ15" s="326">
        <v>0.26</v>
      </c>
      <c r="AK15" s="326">
        <f>+AK9/AK34</f>
        <v>0.26</v>
      </c>
      <c r="AL15" s="580">
        <v>0.26</v>
      </c>
      <c r="AM15" s="326">
        <f>1-AM14</f>
        <v>0.27</v>
      </c>
      <c r="AN15" s="326">
        <f>1-AN14</f>
        <v>0.27</v>
      </c>
      <c r="AO15" s="326">
        <f>1-AO14</f>
        <v>0.27</v>
      </c>
      <c r="AP15" s="326">
        <f>1-AP14</f>
        <v>0.27</v>
      </c>
      <c r="AQ15" s="580">
        <f>+AQ9/AQ$34</f>
        <v>0.27</v>
      </c>
      <c r="AR15" s="685">
        <v>0.27</v>
      </c>
      <c r="AS15" s="684">
        <f>1-AS14</f>
        <v>0.29000000000000004</v>
      </c>
      <c r="AT15" s="684">
        <f>1-AT14</f>
        <v>0.28000000000000003</v>
      </c>
      <c r="AU15" s="673" t="s">
        <v>424</v>
      </c>
      <c r="AV15" s="674"/>
      <c r="AW15" s="673" t="s">
        <v>424</v>
      </c>
      <c r="AX15" s="673" t="s">
        <v>424</v>
      </c>
      <c r="AY15" s="673"/>
      <c r="AZ15" s="673"/>
      <c r="BA15" s="674"/>
      <c r="BB15" s="673"/>
      <c r="BC15" s="673"/>
      <c r="BD15" s="673"/>
      <c r="BE15" s="673"/>
      <c r="BF15" s="674"/>
    </row>
    <row r="16" spans="2:58" s="150" customFormat="1" ht="8.25" hidden="1" customHeight="1" outlineLevel="1">
      <c r="B16" s="155"/>
      <c r="C16" s="160"/>
      <c r="D16" s="272" t="s">
        <v>131</v>
      </c>
      <c r="E16" s="272" t="s">
        <v>131</v>
      </c>
      <c r="F16" s="272" t="s">
        <v>131</v>
      </c>
      <c r="G16" s="272" t="s">
        <v>131</v>
      </c>
      <c r="H16" s="272" t="s">
        <v>131</v>
      </c>
      <c r="I16" s="272" t="s">
        <v>131</v>
      </c>
      <c r="J16" s="272" t="s">
        <v>131</v>
      </c>
      <c r="K16" s="272" t="s">
        <v>131</v>
      </c>
      <c r="L16" s="272" t="s">
        <v>131</v>
      </c>
      <c r="M16" s="272" t="s">
        <v>131</v>
      </c>
      <c r="N16" s="272" t="s">
        <v>131</v>
      </c>
      <c r="O16" s="272" t="s">
        <v>131</v>
      </c>
      <c r="P16" s="272" t="s">
        <v>131</v>
      </c>
      <c r="Q16" s="272" t="s">
        <v>131</v>
      </c>
      <c r="R16" s="581" t="s">
        <v>131</v>
      </c>
      <c r="S16" s="272" t="s">
        <v>131</v>
      </c>
      <c r="T16" s="272" t="s">
        <v>131</v>
      </c>
      <c r="U16" s="272" t="s">
        <v>131</v>
      </c>
      <c r="V16" s="272" t="s">
        <v>131</v>
      </c>
      <c r="W16" s="581" t="s">
        <v>131</v>
      </c>
      <c r="X16" s="272" t="s">
        <v>131</v>
      </c>
      <c r="Y16" s="272" t="s">
        <v>131</v>
      </c>
      <c r="Z16" s="272" t="s">
        <v>131</v>
      </c>
      <c r="AA16" s="272" t="s">
        <v>131</v>
      </c>
      <c r="AB16" s="581" t="s">
        <v>131</v>
      </c>
      <c r="AC16" s="272" t="s">
        <v>131</v>
      </c>
      <c r="AD16" s="272" t="s">
        <v>131</v>
      </c>
      <c r="AE16" s="272" t="s">
        <v>131</v>
      </c>
      <c r="AF16" s="272" t="s">
        <v>131</v>
      </c>
      <c r="AG16" s="581" t="s">
        <v>131</v>
      </c>
      <c r="AH16" s="272" t="s">
        <v>131</v>
      </c>
      <c r="AI16" s="272" t="s">
        <v>131</v>
      </c>
      <c r="AJ16" s="272" t="s">
        <v>131</v>
      </c>
      <c r="AK16" s="272" t="s">
        <v>131</v>
      </c>
      <c r="AL16" s="581" t="s">
        <v>131</v>
      </c>
      <c r="AM16" s="272" t="s">
        <v>131</v>
      </c>
      <c r="AN16" s="272" t="s">
        <v>131</v>
      </c>
      <c r="AO16" s="272" t="s">
        <v>131</v>
      </c>
      <c r="AP16" s="272" t="s">
        <v>131</v>
      </c>
      <c r="AQ16" s="581" t="s">
        <v>131</v>
      </c>
      <c r="AR16" s="272" t="s">
        <v>131</v>
      </c>
      <c r="AS16" s="272" t="s">
        <v>131</v>
      </c>
      <c r="AT16" s="272" t="s">
        <v>131</v>
      </c>
      <c r="AU16" s="272" t="s">
        <v>131</v>
      </c>
      <c r="AV16" s="581" t="s">
        <v>131</v>
      </c>
      <c r="AW16" s="272" t="s">
        <v>131</v>
      </c>
      <c r="AX16" s="272" t="s">
        <v>131</v>
      </c>
      <c r="AY16" s="272" t="s">
        <v>131</v>
      </c>
      <c r="AZ16" s="272" t="s">
        <v>131</v>
      </c>
      <c r="BA16" s="581" t="s">
        <v>131</v>
      </c>
      <c r="BB16" s="272" t="s">
        <v>131</v>
      </c>
      <c r="BC16" s="272" t="s">
        <v>131</v>
      </c>
      <c r="BD16" s="272" t="s">
        <v>131</v>
      </c>
      <c r="BE16" s="272" t="s">
        <v>131</v>
      </c>
      <c r="BF16" s="581" t="s">
        <v>131</v>
      </c>
    </row>
    <row r="17" spans="2:58" s="150" customFormat="1" hidden="1" outlineLevel="1">
      <c r="B17" s="150" t="s">
        <v>130</v>
      </c>
      <c r="C17" s="159"/>
      <c r="D17" s="158">
        <f t="shared" ref="D17:AL17" si="20">+D14+D15</f>
        <v>1</v>
      </c>
      <c r="E17" s="158">
        <f t="shared" si="20"/>
        <v>1</v>
      </c>
      <c r="F17" s="158">
        <f t="shared" si="20"/>
        <v>1</v>
      </c>
      <c r="G17" s="158">
        <f t="shared" si="20"/>
        <v>0.99999999999999978</v>
      </c>
      <c r="H17" s="158">
        <f t="shared" si="20"/>
        <v>1</v>
      </c>
      <c r="I17" s="158">
        <f t="shared" si="20"/>
        <v>1</v>
      </c>
      <c r="J17" s="158">
        <f t="shared" si="20"/>
        <v>1</v>
      </c>
      <c r="K17" s="158">
        <f t="shared" si="20"/>
        <v>1</v>
      </c>
      <c r="L17" s="158">
        <f t="shared" si="20"/>
        <v>1.0000000000000002</v>
      </c>
      <c r="M17" s="158">
        <f t="shared" ref="M17" si="21">+M14+M15</f>
        <v>1</v>
      </c>
      <c r="N17" s="158">
        <f t="shared" si="20"/>
        <v>1</v>
      </c>
      <c r="O17" s="158">
        <f t="shared" si="20"/>
        <v>1</v>
      </c>
      <c r="P17" s="158">
        <f t="shared" si="20"/>
        <v>1</v>
      </c>
      <c r="Q17" s="158">
        <f t="shared" si="20"/>
        <v>1.0000000000000002</v>
      </c>
      <c r="R17" s="580">
        <f t="shared" si="20"/>
        <v>1</v>
      </c>
      <c r="S17" s="158">
        <f t="shared" si="20"/>
        <v>1</v>
      </c>
      <c r="T17" s="158">
        <f t="shared" si="20"/>
        <v>1</v>
      </c>
      <c r="U17" s="158">
        <f t="shared" si="20"/>
        <v>1</v>
      </c>
      <c r="V17" s="158">
        <f t="shared" si="20"/>
        <v>1.0000000000000002</v>
      </c>
      <c r="W17" s="580">
        <f t="shared" ref="W17" si="22">+W14+W15</f>
        <v>1</v>
      </c>
      <c r="X17" s="158">
        <f t="shared" si="20"/>
        <v>1</v>
      </c>
      <c r="Y17" s="158">
        <f t="shared" si="20"/>
        <v>1</v>
      </c>
      <c r="Z17" s="158">
        <f t="shared" si="20"/>
        <v>1</v>
      </c>
      <c r="AA17" s="158">
        <f t="shared" si="20"/>
        <v>0.99999999999999989</v>
      </c>
      <c r="AB17" s="580">
        <f t="shared" si="20"/>
        <v>1</v>
      </c>
      <c r="AC17" s="158">
        <f t="shared" si="20"/>
        <v>1</v>
      </c>
      <c r="AD17" s="158">
        <f t="shared" si="20"/>
        <v>1</v>
      </c>
      <c r="AE17" s="158">
        <f t="shared" si="20"/>
        <v>1</v>
      </c>
      <c r="AF17" s="158">
        <f t="shared" si="20"/>
        <v>1.0366888659302234</v>
      </c>
      <c r="AG17" s="580">
        <f t="shared" si="20"/>
        <v>1.01</v>
      </c>
      <c r="AH17" s="158">
        <f t="shared" si="20"/>
        <v>1</v>
      </c>
      <c r="AI17" s="158">
        <f t="shared" si="20"/>
        <v>1</v>
      </c>
      <c r="AJ17" s="158">
        <f t="shared" si="20"/>
        <v>1</v>
      </c>
      <c r="AK17" s="158">
        <f t="shared" si="20"/>
        <v>1</v>
      </c>
      <c r="AL17" s="580">
        <f t="shared" si="20"/>
        <v>1</v>
      </c>
      <c r="AM17" s="158">
        <f t="shared" ref="AM17:AQ17" si="23">+AM14+AM15</f>
        <v>1</v>
      </c>
      <c r="AN17" s="158">
        <f t="shared" si="23"/>
        <v>1</v>
      </c>
      <c r="AO17" s="158">
        <f t="shared" si="23"/>
        <v>1</v>
      </c>
      <c r="AP17" s="158">
        <f t="shared" si="23"/>
        <v>1</v>
      </c>
      <c r="AQ17" s="580">
        <f t="shared" si="23"/>
        <v>1</v>
      </c>
      <c r="AR17" s="158">
        <f t="shared" ref="AR17:AV17" si="24">+AR14+AR15</f>
        <v>1</v>
      </c>
      <c r="AS17" s="158">
        <f t="shared" si="24"/>
        <v>1</v>
      </c>
      <c r="AT17" s="158">
        <f t="shared" si="24"/>
        <v>1</v>
      </c>
      <c r="AU17" s="158" t="e">
        <f t="shared" si="24"/>
        <v>#VALUE!</v>
      </c>
      <c r="AV17" s="580">
        <f t="shared" si="24"/>
        <v>0</v>
      </c>
      <c r="AW17" s="158" t="e">
        <f t="shared" ref="AW17:BA17" si="25">+AW14+AW15</f>
        <v>#VALUE!</v>
      </c>
      <c r="AX17" s="158" t="e">
        <f t="shared" si="25"/>
        <v>#VALUE!</v>
      </c>
      <c r="AY17" s="158">
        <f t="shared" si="25"/>
        <v>0</v>
      </c>
      <c r="AZ17" s="158">
        <f t="shared" si="25"/>
        <v>0</v>
      </c>
      <c r="BA17" s="580">
        <f t="shared" si="25"/>
        <v>0</v>
      </c>
      <c r="BB17" s="158">
        <f t="shared" ref="BB17:BF17" si="26">+BB14+BB15</f>
        <v>0</v>
      </c>
      <c r="BC17" s="158">
        <f t="shared" si="26"/>
        <v>0</v>
      </c>
      <c r="BD17" s="158">
        <f t="shared" si="26"/>
        <v>0</v>
      </c>
      <c r="BE17" s="158">
        <f t="shared" si="26"/>
        <v>0</v>
      </c>
      <c r="BF17" s="580">
        <f t="shared" si="26"/>
        <v>0</v>
      </c>
    </row>
    <row r="18" spans="2:58" s="150" customFormat="1" hidden="1" outlineLevel="1">
      <c r="C18" s="159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580"/>
      <c r="S18" s="158"/>
      <c r="T18" s="158"/>
      <c r="U18" s="158"/>
      <c r="V18" s="158"/>
      <c r="W18" s="580"/>
      <c r="X18" s="158"/>
      <c r="Y18" s="158"/>
      <c r="Z18" s="158"/>
      <c r="AA18" s="158"/>
      <c r="AB18" s="580"/>
      <c r="AC18" s="158"/>
      <c r="AD18" s="158"/>
      <c r="AE18" s="158"/>
      <c r="AF18" s="158"/>
      <c r="AG18" s="580"/>
      <c r="AH18" s="158"/>
      <c r="AI18" s="158"/>
      <c r="AJ18" s="158"/>
      <c r="AK18" s="158"/>
      <c r="AL18" s="580"/>
      <c r="AM18" s="158"/>
      <c r="AN18" s="158"/>
      <c r="AO18" s="158"/>
      <c r="AP18" s="158"/>
      <c r="AQ18" s="580"/>
      <c r="AR18" s="158"/>
      <c r="AS18" s="158"/>
      <c r="AT18" s="158"/>
      <c r="AU18" s="158"/>
      <c r="AV18" s="580"/>
      <c r="AW18" s="158"/>
      <c r="AX18" s="158"/>
      <c r="AY18" s="158"/>
      <c r="AZ18" s="158"/>
      <c r="BA18" s="580"/>
      <c r="BB18" s="158"/>
      <c r="BC18" s="158"/>
      <c r="BD18" s="158"/>
      <c r="BE18" s="158"/>
      <c r="BF18" s="580"/>
    </row>
    <row r="19" spans="2:58" s="150" customFormat="1" hidden="1" outlineLevel="1">
      <c r="B19" s="150" t="s">
        <v>133</v>
      </c>
      <c r="C19" s="159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580"/>
      <c r="S19" s="158"/>
      <c r="T19" s="158"/>
      <c r="U19" s="158"/>
      <c r="V19" s="158"/>
      <c r="W19" s="580"/>
      <c r="X19" s="158"/>
      <c r="Y19" s="158"/>
      <c r="Z19" s="158"/>
      <c r="AA19" s="158"/>
      <c r="AB19" s="580"/>
      <c r="AC19" s="158"/>
      <c r="AD19" s="158"/>
      <c r="AE19" s="158"/>
      <c r="AF19" s="158"/>
      <c r="AG19" s="580"/>
      <c r="AH19" s="158"/>
      <c r="AI19" s="158"/>
      <c r="AJ19" s="158"/>
      <c r="AK19" s="158"/>
      <c r="AL19" s="580"/>
      <c r="AM19" s="158"/>
      <c r="AN19" s="158"/>
      <c r="AO19" s="158"/>
      <c r="AP19" s="158"/>
      <c r="AQ19" s="580"/>
      <c r="AR19" s="158"/>
      <c r="AS19" s="158"/>
      <c r="AT19" s="158"/>
      <c r="AU19" s="158"/>
      <c r="AV19" s="580"/>
      <c r="AW19" s="158"/>
      <c r="AX19" s="158"/>
      <c r="AY19" s="158"/>
      <c r="AZ19" s="158"/>
      <c r="BA19" s="580"/>
      <c r="BB19" s="158"/>
      <c r="BC19" s="158"/>
      <c r="BD19" s="158"/>
      <c r="BE19" s="158"/>
      <c r="BF19" s="580"/>
    </row>
    <row r="20" spans="2:58" s="150" customFormat="1" ht="13.15" hidden="1" outlineLevel="1">
      <c r="B20" s="151" t="str">
        <f>+B$8</f>
        <v>VM Solutions Revenue</v>
      </c>
      <c r="C20" s="159"/>
      <c r="D20" s="158"/>
      <c r="E20" s="158">
        <f>+E8/D8-1</f>
        <v>4.7142654900665271E-2</v>
      </c>
      <c r="F20" s="158">
        <f t="shared" ref="F20:G21" si="27">+F8/E8-1</f>
        <v>2.9769757056823387E-2</v>
      </c>
      <c r="G20" s="158">
        <f t="shared" si="27"/>
        <v>1.1382239965944452E-2</v>
      </c>
      <c r="H20" s="158"/>
      <c r="I20" s="158">
        <f>+I8/G8-1</f>
        <v>3.9982987009155702E-2</v>
      </c>
      <c r="J20" s="158">
        <f>+J8/I8-1</f>
        <v>5.6584816943294536E-2</v>
      </c>
      <c r="K20" s="158">
        <f t="shared" ref="K20:L21" si="28">+K8/J8-1</f>
        <v>3.0621975312508987E-2</v>
      </c>
      <c r="L20" s="158">
        <f t="shared" si="28"/>
        <v>2.0502204138916902E-3</v>
      </c>
      <c r="M20" s="158"/>
      <c r="N20" s="158">
        <f>+N8/L8-1</f>
        <v>9.1711083158678042E-2</v>
      </c>
      <c r="O20" s="158">
        <f>+O8/N8-1</f>
        <v>3.8464835756254923E-2</v>
      </c>
      <c r="P20" s="158">
        <f t="shared" ref="P20:Q21" si="29">+P8/O8-1</f>
        <v>7.6467382289518993E-2</v>
      </c>
      <c r="Q20" s="158">
        <f t="shared" si="29"/>
        <v>-2.9384321734215124E-2</v>
      </c>
      <c r="R20" s="580"/>
      <c r="S20" s="158">
        <f>+S8/Q8-1</f>
        <v>8.3464470728011664E-2</v>
      </c>
      <c r="T20" s="158">
        <f t="shared" ref="T20:V21" si="30">+T8/S8-1</f>
        <v>6.3585202571146526E-2</v>
      </c>
      <c r="U20" s="158">
        <f t="shared" si="30"/>
        <v>6.4999874614439346E-2</v>
      </c>
      <c r="V20" s="158">
        <f t="shared" si="30"/>
        <v>-5.1404285657654425E-2</v>
      </c>
      <c r="W20" s="580"/>
      <c r="X20" s="158">
        <f>+X8/V8-1</f>
        <v>0.14799438318575375</v>
      </c>
      <c r="Y20" s="158">
        <f t="shared" ref="Y20:AA21" si="31">+Y8/X8-1</f>
        <v>4.7958830652136353E-2</v>
      </c>
      <c r="Z20" s="158">
        <f t="shared" si="31"/>
        <v>5.2015846160194945E-2</v>
      </c>
      <c r="AA20" s="158">
        <f t="shared" si="31"/>
        <v>-0.12315176889219492</v>
      </c>
      <c r="AB20" s="580"/>
      <c r="AC20" s="158">
        <f>+AC8/AA8-1</f>
        <v>0.12801928468955026</v>
      </c>
      <c r="AD20" s="158">
        <f t="shared" ref="AD20:AF21" si="32">+AD8/AC8-1</f>
        <v>4.1057209013384499E-2</v>
      </c>
      <c r="AE20" s="158">
        <f t="shared" si="32"/>
        <v>7.5729630031463602E-2</v>
      </c>
      <c r="AF20" s="158">
        <f t="shared" si="32"/>
        <v>5.8378438953325951E-3</v>
      </c>
      <c r="AG20" s="580"/>
      <c r="AH20" s="158">
        <f>+AH8/AF8-1</f>
        <v>6.9783682283311776E-2</v>
      </c>
      <c r="AI20" s="158">
        <f t="shared" ref="AI20:AK21" si="33">+AI8/AH8-1</f>
        <v>5.0479361262677713E-2</v>
      </c>
      <c r="AJ20" s="158">
        <f t="shared" si="33"/>
        <v>5.1428403738646766E-2</v>
      </c>
      <c r="AK20" s="158">
        <f t="shared" si="33"/>
        <v>3.5474057327862907E-2</v>
      </c>
      <c r="AL20" s="580"/>
      <c r="AM20" s="158">
        <f>+AM8/AK8-1</f>
        <v>1.6826327675383279E-3</v>
      </c>
      <c r="AN20" s="158">
        <f t="shared" ref="AN20:AN21" si="34">+AN8/AM8-1</f>
        <v>4.7595662503484126E-2</v>
      </c>
      <c r="AO20" s="158">
        <f t="shared" ref="AO20:AO21" si="35">+AO8/AN8-1</f>
        <v>4.740969732291056E-2</v>
      </c>
      <c r="AP20" s="158">
        <f t="shared" ref="AP20:AP21" si="36">+AP8/AO8-1</f>
        <v>2.410760726252259E-2</v>
      </c>
      <c r="AQ20" s="580"/>
      <c r="AR20" s="158">
        <f>+AR8/AP8-1</f>
        <v>1.8886421619578542E-2</v>
      </c>
      <c r="AS20" s="158">
        <f t="shared" ref="AS20:AS21" si="37">+AS8/AR8-1</f>
        <v>1.5452902155386194E-3</v>
      </c>
      <c r="AT20" s="158">
        <f t="shared" ref="AT20:AT21" si="38">+AT8/AS8-1</f>
        <v>6.2476989597157306E-2</v>
      </c>
      <c r="AU20" s="158" t="e">
        <f t="shared" ref="AU20:AU21" si="39">+AU8/AT8-1</f>
        <v>#VALUE!</v>
      </c>
      <c r="AV20" s="580"/>
      <c r="AW20" s="158" t="e">
        <f>+AW8/AU8-1</f>
        <v>#VALUE!</v>
      </c>
      <c r="AX20" s="158" t="e">
        <f t="shared" ref="AX20:AX21" si="40">+AX8/AW8-1</f>
        <v>#VALUE!</v>
      </c>
      <c r="AY20" s="158" t="e">
        <f t="shared" ref="AY20:AY21" si="41">+AY8/AX8-1</f>
        <v>#VALUE!</v>
      </c>
      <c r="AZ20" s="158" t="e">
        <f t="shared" ref="AZ20:AZ21" si="42">+AZ8/AY8-1</f>
        <v>#DIV/0!</v>
      </c>
      <c r="BA20" s="580"/>
      <c r="BB20" s="158" t="e">
        <f>+BB8/AZ8-1</f>
        <v>#DIV/0!</v>
      </c>
      <c r="BC20" s="158" t="e">
        <f t="shared" ref="BC20:BC21" si="43">+BC8/BB8-1</f>
        <v>#DIV/0!</v>
      </c>
      <c r="BD20" s="158" t="e">
        <f t="shared" ref="BD20:BD21" si="44">+BD8/BC8-1</f>
        <v>#DIV/0!</v>
      </c>
      <c r="BE20" s="158" t="e">
        <f t="shared" ref="BE20:BE21" si="45">+BE8/BD8-1</f>
        <v>#DIV/0!</v>
      </c>
      <c r="BF20" s="580"/>
    </row>
    <row r="21" spans="2:58" s="150" customFormat="1" ht="13.15" hidden="1" outlineLevel="1">
      <c r="B21" s="151" t="str">
        <f>+B$9</f>
        <v>Other Security Revenue</v>
      </c>
      <c r="C21" s="159"/>
      <c r="D21" s="158"/>
      <c r="E21" s="158">
        <f>+E9/D9-1</f>
        <v>4.7142654900665271E-2</v>
      </c>
      <c r="F21" s="158">
        <f t="shared" si="27"/>
        <v>0.22933753943217705</v>
      </c>
      <c r="G21" s="158">
        <f t="shared" si="27"/>
        <v>0.31957427569436803</v>
      </c>
      <c r="H21" s="158"/>
      <c r="I21" s="158">
        <f>+I9/G9-1</f>
        <v>-0.13592693767941488</v>
      </c>
      <c r="J21" s="158">
        <f>+J9/I9-1</f>
        <v>5.6584816943294536E-2</v>
      </c>
      <c r="K21" s="158">
        <f t="shared" si="28"/>
        <v>0.19618373841492032</v>
      </c>
      <c r="L21" s="158">
        <f t="shared" si="28"/>
        <v>0.26344987524722763</v>
      </c>
      <c r="M21" s="158"/>
      <c r="N21" s="158">
        <f>+N9/L9-1</f>
        <v>-0.13415691992261947</v>
      </c>
      <c r="O21" s="158">
        <f>+O9/N9-1</f>
        <v>0.18929487726043104</v>
      </c>
      <c r="P21" s="158">
        <f t="shared" si="29"/>
        <v>7.3744822709362889E-3</v>
      </c>
      <c r="Q21" s="158">
        <f t="shared" si="29"/>
        <v>0.49374053802259277</v>
      </c>
      <c r="R21" s="580"/>
      <c r="S21" s="158">
        <f>+S9/Q9-1</f>
        <v>-0.1474490160536901</v>
      </c>
      <c r="T21" s="158">
        <f t="shared" si="30"/>
        <v>6.3585202571146748E-2</v>
      </c>
      <c r="U21" s="158">
        <f t="shared" si="30"/>
        <v>6.4999874614439346E-2</v>
      </c>
      <c r="V21" s="158">
        <f t="shared" si="30"/>
        <v>0.41494019727554754</v>
      </c>
      <c r="W21" s="580"/>
      <c r="X21" s="158">
        <f>+X9/V9-1</f>
        <v>-0.23036849608491217</v>
      </c>
      <c r="Y21" s="158">
        <f t="shared" si="31"/>
        <v>4.7958830652136131E-2</v>
      </c>
      <c r="Z21" s="158">
        <f t="shared" si="31"/>
        <v>5.2015846160194945E-2</v>
      </c>
      <c r="AA21" s="158">
        <f t="shared" si="31"/>
        <v>0.57881420754309931</v>
      </c>
      <c r="AB21" s="580"/>
      <c r="AC21" s="158">
        <f>+AC9/AA9-1</f>
        <v>-0.21440905210889938</v>
      </c>
      <c r="AD21" s="158">
        <f t="shared" si="32"/>
        <v>4.1057209013384499E-2</v>
      </c>
      <c r="AE21" s="158">
        <f t="shared" si="32"/>
        <v>7.5729630031463602E-2</v>
      </c>
      <c r="AF21" s="158">
        <f t="shared" si="32"/>
        <v>0.36798184568835124</v>
      </c>
      <c r="AG21" s="580"/>
      <c r="AH21" s="158">
        <f>+AH9/AF9-1</f>
        <v>-0.17090081202989804</v>
      </c>
      <c r="AI21" s="158">
        <f t="shared" si="33"/>
        <v>5.0479361262677713E-2</v>
      </c>
      <c r="AJ21" s="158">
        <f t="shared" si="33"/>
        <v>5.1428403738646988E-2</v>
      </c>
      <c r="AK21" s="158">
        <f t="shared" si="33"/>
        <v>3.5474057327862907E-2</v>
      </c>
      <c r="AL21" s="580"/>
      <c r="AM21" s="158">
        <f>+AM9/AK9-1</f>
        <v>5.4458324694173887E-2</v>
      </c>
      <c r="AN21" s="158">
        <f t="shared" si="34"/>
        <v>4.7595662503484126E-2</v>
      </c>
      <c r="AO21" s="158">
        <f t="shared" si="35"/>
        <v>4.740969732291056E-2</v>
      </c>
      <c r="AP21" s="158">
        <f t="shared" si="36"/>
        <v>2.4107607262522368E-2</v>
      </c>
      <c r="AQ21" s="580"/>
      <c r="AR21" s="158">
        <f>+AR9/AP9-1</f>
        <v>1.8886421619578764E-2</v>
      </c>
      <c r="AS21" s="158">
        <f t="shared" si="37"/>
        <v>0.10603619164647649</v>
      </c>
      <c r="AT21" s="158">
        <f t="shared" si="38"/>
        <v>1.1592076302274545E-2</v>
      </c>
      <c r="AU21" s="158" t="e">
        <f t="shared" si="39"/>
        <v>#VALUE!</v>
      </c>
      <c r="AV21" s="580"/>
      <c r="AW21" s="158" t="e">
        <f>+AW9/AU9-1</f>
        <v>#VALUE!</v>
      </c>
      <c r="AX21" s="158" t="e">
        <f t="shared" si="40"/>
        <v>#VALUE!</v>
      </c>
      <c r="AY21" s="158" t="e">
        <f t="shared" si="41"/>
        <v>#VALUE!</v>
      </c>
      <c r="AZ21" s="158">
        <f t="shared" si="42"/>
        <v>4.6181409266777163E-2</v>
      </c>
      <c r="BA21" s="580"/>
      <c r="BB21" s="158">
        <f>+BB9/AZ9-1</f>
        <v>3.3157223537985114E-2</v>
      </c>
      <c r="BC21" s="158">
        <f t="shared" si="43"/>
        <v>5.7071063304531933E-2</v>
      </c>
      <c r="BD21" s="158">
        <f t="shared" si="44"/>
        <v>4.7275487309517583E-2</v>
      </c>
      <c r="BE21" s="158">
        <f t="shared" si="45"/>
        <v>4.2114987934151582E-2</v>
      </c>
      <c r="BF21" s="580"/>
    </row>
    <row r="22" spans="2:58" s="150" customFormat="1" ht="6" hidden="1" customHeight="1" outlineLevel="1">
      <c r="B22" s="155"/>
      <c r="C22" s="159"/>
      <c r="D22" s="272"/>
      <c r="E22" s="272" t="s">
        <v>131</v>
      </c>
      <c r="F22" s="272" t="s">
        <v>131</v>
      </c>
      <c r="G22" s="272" t="s">
        <v>131</v>
      </c>
      <c r="H22" s="158"/>
      <c r="I22" s="272" t="s">
        <v>131</v>
      </c>
      <c r="J22" s="272" t="s">
        <v>131</v>
      </c>
      <c r="K22" s="272" t="s">
        <v>131</v>
      </c>
      <c r="L22" s="272" t="s">
        <v>131</v>
      </c>
      <c r="M22" s="158"/>
      <c r="N22" s="272" t="s">
        <v>131</v>
      </c>
      <c r="O22" s="272" t="s">
        <v>131</v>
      </c>
      <c r="P22" s="272" t="s">
        <v>131</v>
      </c>
      <c r="Q22" s="272" t="s">
        <v>131</v>
      </c>
      <c r="R22" s="580"/>
      <c r="S22" s="272" t="s">
        <v>131</v>
      </c>
      <c r="T22" s="272" t="s">
        <v>131</v>
      </c>
      <c r="U22" s="272" t="s">
        <v>131</v>
      </c>
      <c r="V22" s="272" t="s">
        <v>131</v>
      </c>
      <c r="W22" s="580"/>
      <c r="X22" s="272" t="s">
        <v>131</v>
      </c>
      <c r="Y22" s="272" t="s">
        <v>131</v>
      </c>
      <c r="Z22" s="272" t="s">
        <v>131</v>
      </c>
      <c r="AA22" s="272" t="s">
        <v>131</v>
      </c>
      <c r="AB22" s="580"/>
      <c r="AC22" s="272" t="s">
        <v>131</v>
      </c>
      <c r="AD22" s="272" t="s">
        <v>131</v>
      </c>
      <c r="AE22" s="272" t="s">
        <v>131</v>
      </c>
      <c r="AF22" s="272" t="s">
        <v>131</v>
      </c>
      <c r="AG22" s="580"/>
      <c r="AH22" s="272" t="s">
        <v>131</v>
      </c>
      <c r="AI22" s="272" t="s">
        <v>131</v>
      </c>
      <c r="AJ22" s="272" t="s">
        <v>131</v>
      </c>
      <c r="AK22" s="272" t="s">
        <v>131</v>
      </c>
      <c r="AL22" s="580"/>
      <c r="AM22" s="272" t="s">
        <v>131</v>
      </c>
      <c r="AN22" s="272" t="s">
        <v>131</v>
      </c>
      <c r="AO22" s="272" t="s">
        <v>131</v>
      </c>
      <c r="AP22" s="272" t="s">
        <v>131</v>
      </c>
      <c r="AQ22" s="580"/>
      <c r="AR22" s="272" t="s">
        <v>131</v>
      </c>
      <c r="AS22" s="272" t="s">
        <v>131</v>
      </c>
      <c r="AT22" s="272" t="s">
        <v>131</v>
      </c>
      <c r="AU22" s="272" t="s">
        <v>131</v>
      </c>
      <c r="AV22" s="580"/>
      <c r="AW22" s="272" t="s">
        <v>131</v>
      </c>
      <c r="AX22" s="272" t="s">
        <v>131</v>
      </c>
      <c r="AY22" s="272" t="s">
        <v>131</v>
      </c>
      <c r="AZ22" s="272" t="s">
        <v>131</v>
      </c>
      <c r="BA22" s="580"/>
      <c r="BB22" s="272" t="s">
        <v>131</v>
      </c>
      <c r="BC22" s="272" t="s">
        <v>131</v>
      </c>
      <c r="BD22" s="272" t="s">
        <v>131</v>
      </c>
      <c r="BE22" s="272" t="s">
        <v>131</v>
      </c>
      <c r="BF22" s="580"/>
    </row>
    <row r="23" spans="2:58" s="150" customFormat="1" hidden="1" outlineLevel="1">
      <c r="B23" s="150" t="s">
        <v>130</v>
      </c>
      <c r="C23" s="159"/>
      <c r="D23" s="158"/>
      <c r="E23" s="158">
        <f>+E11/D11-1</f>
        <v>4.7142654900665271E-2</v>
      </c>
      <c r="F23" s="158">
        <f>+F11/E11-1</f>
        <v>5.3717890941865631E-2</v>
      </c>
      <c r="G23" s="158">
        <f>+G11/F11-1</f>
        <v>5.4529124967923837E-2</v>
      </c>
      <c r="H23" s="158"/>
      <c r="I23" s="158">
        <f>+I11/G11-1</f>
        <v>9.1657541468956882E-3</v>
      </c>
      <c r="J23" s="158">
        <f>+J11/I11-1</f>
        <v>5.6584816943294536E-2</v>
      </c>
      <c r="K23" s="158">
        <f>+K11/J11-1</f>
        <v>5.5456239777870842E-2</v>
      </c>
      <c r="L23" s="158">
        <f>+L11/K11-1</f>
        <v>4.6488161735558586E-2</v>
      </c>
      <c r="M23" s="158"/>
      <c r="N23" s="158">
        <f>+N11/L11-1</f>
        <v>4.5352801405006415E-2</v>
      </c>
      <c r="O23" s="158">
        <f>+O11/N11-1</f>
        <v>6.41059428119648E-2</v>
      </c>
      <c r="P23" s="158">
        <f>+P11/O11-1</f>
        <v>6.3339731285988465E-2</v>
      </c>
      <c r="Q23" s="158">
        <f>+Q11/P11-1</f>
        <v>6.4778153022010176E-2</v>
      </c>
      <c r="R23" s="580"/>
      <c r="S23" s="158">
        <f>+S11/Q11-1</f>
        <v>2.5155169113826981E-2</v>
      </c>
      <c r="T23" s="158">
        <f>+T11/S11-1</f>
        <v>6.3585202571146526E-2</v>
      </c>
      <c r="U23" s="158">
        <f>+U11/T11-1</f>
        <v>6.4999874614439346E-2</v>
      </c>
      <c r="V23" s="158">
        <f>+V11/U11-1</f>
        <v>4.6528055758318088E-2</v>
      </c>
      <c r="W23" s="580"/>
      <c r="X23" s="158">
        <f>+X11/V11-1</f>
        <v>4.0566992912588473E-2</v>
      </c>
      <c r="Y23" s="158">
        <f>+Y11/X11-1</f>
        <v>4.7958830652136353E-2</v>
      </c>
      <c r="Z23" s="158">
        <f>+Z11/Y11-1</f>
        <v>5.2015846160194723E-2</v>
      </c>
      <c r="AA23" s="158">
        <f>+AA11/Z11-1</f>
        <v>2.426108615921696E-2</v>
      </c>
      <c r="AB23" s="580"/>
      <c r="AC23" s="158">
        <f>+AC11/AA11-1</f>
        <v>1.7176011029411908E-2</v>
      </c>
      <c r="AD23" s="158">
        <f>+AD11/AC11-1</f>
        <v>4.1057209013384499E-2</v>
      </c>
      <c r="AE23" s="158">
        <f>+AE11/AD11-1</f>
        <v>7.5729630031463602E-2</v>
      </c>
      <c r="AF23" s="158">
        <f>+AF11/AE11-1</f>
        <v>9.6373844343587312E-2</v>
      </c>
      <c r="AG23" s="580"/>
      <c r="AH23" s="158">
        <f>+AH11/AF11-1</f>
        <v>-5.2938153371006047E-3</v>
      </c>
      <c r="AI23" s="158">
        <f>+AI11/AH11-1</f>
        <v>5.0479361262677713E-2</v>
      </c>
      <c r="AJ23" s="158">
        <f>+AJ11/AI11-1</f>
        <v>5.1428403738646766E-2</v>
      </c>
      <c r="AK23" s="158">
        <f>+AK11/AJ11-1</f>
        <v>3.5474057327862907E-2</v>
      </c>
      <c r="AL23" s="580"/>
      <c r="AM23" s="158">
        <f>+AM11/AK11-1</f>
        <v>1.5404312668463538E-2</v>
      </c>
      <c r="AN23" s="158">
        <f>+AN11/AM11-1</f>
        <v>4.7595662503484126E-2</v>
      </c>
      <c r="AO23" s="158">
        <f>+AO11/AN11-1</f>
        <v>4.740969732291056E-2</v>
      </c>
      <c r="AP23" s="158">
        <f>+AP11/AO11-1</f>
        <v>2.410760726252259E-2</v>
      </c>
      <c r="AQ23" s="580"/>
      <c r="AR23" s="158">
        <f>+AR11/AP11-1</f>
        <v>1.8886421619578542E-2</v>
      </c>
      <c r="AS23" s="158">
        <f>+AS11/AR11-1</f>
        <v>2.9757833601891992E-2</v>
      </c>
      <c r="AT23" s="158">
        <f>+AT11/AS11-1</f>
        <v>4.7720364741641319E-2</v>
      </c>
      <c r="AU23" s="158" t="e">
        <f>+AU11/AT11-1</f>
        <v>#VALUE!</v>
      </c>
      <c r="AV23" s="580"/>
      <c r="AW23" s="158" t="e">
        <f>+AW11/AU11-1</f>
        <v>#VALUE!</v>
      </c>
      <c r="AX23" s="158" t="e">
        <f>+AX11/AW11-1</f>
        <v>#VALUE!</v>
      </c>
      <c r="AY23" s="158" t="e">
        <f>+AY11/AX11-1</f>
        <v>#VALUE!</v>
      </c>
      <c r="AZ23" s="158">
        <f>+AZ11/AY11-1</f>
        <v>4.6181409266777163E-2</v>
      </c>
      <c r="BA23" s="580"/>
      <c r="BB23" s="158">
        <f>+BB11/AZ11-1</f>
        <v>3.3157223537985114E-2</v>
      </c>
      <c r="BC23" s="158">
        <f>+BC11/BB11-1</f>
        <v>5.7071063304531933E-2</v>
      </c>
      <c r="BD23" s="158">
        <f>+BD11/BC11-1</f>
        <v>4.7275487309517583E-2</v>
      </c>
      <c r="BE23" s="158">
        <f>+BE11/BD11-1</f>
        <v>4.2114987934151582E-2</v>
      </c>
      <c r="BF23" s="580"/>
    </row>
    <row r="24" spans="2:58" s="150" customFormat="1" hidden="1" outlineLevel="1">
      <c r="C24" s="159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580"/>
      <c r="S24" s="158"/>
      <c r="T24" s="158"/>
      <c r="U24" s="158"/>
      <c r="V24" s="158"/>
      <c r="W24" s="580"/>
      <c r="X24" s="158"/>
      <c r="Y24" s="158"/>
      <c r="Z24" s="158"/>
      <c r="AA24" s="158"/>
      <c r="AB24" s="580"/>
      <c r="AC24" s="158"/>
      <c r="AD24" s="158"/>
      <c r="AE24" s="158"/>
      <c r="AF24" s="158"/>
      <c r="AG24" s="580"/>
      <c r="AH24" s="158"/>
      <c r="AI24" s="158"/>
      <c r="AJ24" s="158"/>
      <c r="AK24" s="158"/>
      <c r="AL24" s="580"/>
      <c r="AM24" s="158"/>
      <c r="AN24" s="158"/>
      <c r="AO24" s="158"/>
      <c r="AP24" s="158"/>
      <c r="AQ24" s="580"/>
      <c r="AR24" s="158"/>
      <c r="AS24" s="158"/>
      <c r="AT24" s="158"/>
      <c r="AU24" s="158"/>
      <c r="AV24" s="580"/>
      <c r="AW24" s="158"/>
      <c r="AX24" s="158"/>
      <c r="AY24" s="158"/>
      <c r="AZ24" s="158"/>
      <c r="BA24" s="580"/>
      <c r="BB24" s="158"/>
      <c r="BC24" s="158"/>
      <c r="BD24" s="158"/>
      <c r="BE24" s="158"/>
      <c r="BF24" s="580"/>
    </row>
    <row r="25" spans="2:58" s="150" customFormat="1" hidden="1" outlineLevel="1">
      <c r="B25" s="150" t="s">
        <v>134</v>
      </c>
      <c r="C25" s="159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580"/>
      <c r="S25" s="158"/>
      <c r="T25" s="158"/>
      <c r="U25" s="158"/>
      <c r="V25" s="158"/>
      <c r="W25" s="580"/>
      <c r="X25" s="158"/>
      <c r="Y25" s="158"/>
      <c r="Z25" s="158"/>
      <c r="AA25" s="158"/>
      <c r="AB25" s="580"/>
      <c r="AC25" s="158"/>
      <c r="AD25" s="158"/>
      <c r="AE25" s="158"/>
      <c r="AF25" s="158"/>
      <c r="AG25" s="580"/>
      <c r="AH25" s="158"/>
      <c r="AI25" s="158"/>
      <c r="AJ25" s="158"/>
      <c r="AK25" s="158"/>
      <c r="AL25" s="580"/>
      <c r="AM25" s="158"/>
      <c r="AN25" s="158"/>
      <c r="AO25" s="158"/>
      <c r="AP25" s="158"/>
      <c r="AQ25" s="580"/>
      <c r="AR25" s="158"/>
      <c r="AS25" s="158"/>
      <c r="AT25" s="158"/>
      <c r="AU25" s="158"/>
      <c r="AV25" s="580"/>
      <c r="AW25" s="158"/>
      <c r="AX25" s="158"/>
      <c r="AY25" s="158"/>
      <c r="AZ25" s="158"/>
      <c r="BA25" s="580"/>
      <c r="BB25" s="158"/>
      <c r="BC25" s="158"/>
      <c r="BD25" s="158"/>
      <c r="BE25" s="158"/>
      <c r="BF25" s="580"/>
    </row>
    <row r="26" spans="2:58" s="150" customFormat="1" ht="13.15" hidden="1" outlineLevel="1">
      <c r="B26" s="151" t="str">
        <f>+B$8</f>
        <v>VM Solutions Revenue</v>
      </c>
      <c r="C26" s="159"/>
      <c r="D26" s="158"/>
      <c r="E26" s="158"/>
      <c r="F26" s="158"/>
      <c r="G26" s="158"/>
      <c r="H26" s="326">
        <v>0.15</v>
      </c>
      <c r="I26" s="158">
        <f t="shared" ref="I26:I27" si="46">+I8/D8-1</f>
        <v>0.13419451225005452</v>
      </c>
      <c r="J26" s="158">
        <f t="shared" ref="J26:J27" si="47">+J8/E8-1</f>
        <v>0.14442162726863028</v>
      </c>
      <c r="K26" s="158">
        <f t="shared" ref="K26:K27" si="48">+K8/F8-1</f>
        <v>0.14536872927495392</v>
      </c>
      <c r="L26" s="158">
        <f t="shared" ref="L26:L27" si="49">+L8/G8-1</f>
        <v>0.13480041696578815</v>
      </c>
      <c r="M26" s="158">
        <f t="shared" ref="M26:M27" si="50">+M8/H8-1</f>
        <v>0.13974932969733356</v>
      </c>
      <c r="N26" s="158">
        <f t="shared" ref="N26:N27" si="51">+N8/I8-1</f>
        <v>0.19124467212436569</v>
      </c>
      <c r="O26" s="158">
        <f t="shared" ref="O26:O27" si="52">+O8/J8-1</f>
        <v>0.17081533157175244</v>
      </c>
      <c r="P26" s="158">
        <f t="shared" ref="P26:P27" si="53">+P8/K8-1</f>
        <v>0.22289699357449977</v>
      </c>
      <c r="Q26" s="158">
        <f t="shared" ref="Q26:Q27" si="54">+Q8/L8-1</f>
        <v>0.18453443818138515</v>
      </c>
      <c r="R26" s="580">
        <f t="shared" ref="R26:R27" si="55">+R8/M8-1</f>
        <v>0.19255704204714608</v>
      </c>
      <c r="S26" s="158">
        <f t="shared" ref="S26:S27" si="56">+S8/N8-1</f>
        <v>0.1755866528440817</v>
      </c>
      <c r="T26" s="158">
        <f t="shared" ref="T26:T27" si="57">+T8/O8-1</f>
        <v>0.20402398353196038</v>
      </c>
      <c r="U26" s="158">
        <f t="shared" ref="U26:U27" si="58">+U8/P8-1</f>
        <v>0.19119762715619482</v>
      </c>
      <c r="V26" s="158">
        <f t="shared" ref="V26:V27" si="59">+V8/Q8-1</f>
        <v>0.16417341009169029</v>
      </c>
      <c r="W26" s="580">
        <f t="shared" ref="W26:W27" si="60">+W8/R8-1</f>
        <v>0.18374407653897684</v>
      </c>
      <c r="X26" s="158">
        <f t="shared" ref="X26:X27" si="61">+X8/S8-1</f>
        <v>0.23351025524764601</v>
      </c>
      <c r="Y26" s="158">
        <f t="shared" ref="Y26:Y27" si="62">+Y8/T8-1</f>
        <v>0.2153873159966897</v>
      </c>
      <c r="Z26" s="158">
        <f t="shared" ref="Z26:Z27" si="63">+Z8/U8-1</f>
        <v>0.20056982740351792</v>
      </c>
      <c r="AA26" s="158">
        <f t="shared" ref="AA26:AA27" si="64">+AA8/V8-1</f>
        <v>0.10976416355625096</v>
      </c>
      <c r="AB26" s="580">
        <f t="shared" ref="AB26:AB27" si="65">+AB8/W8-1</f>
        <v>0.18912703278801013</v>
      </c>
      <c r="AC26" s="158">
        <f t="shared" ref="AC26:AC27" si="66">+AC8/X8-1</f>
        <v>9.0454270756012312E-2</v>
      </c>
      <c r="AD26" s="158">
        <f t="shared" ref="AD26:AD27" si="67">+AD8/Y8-1</f>
        <v>8.3272783687063479E-2</v>
      </c>
      <c r="AE26" s="158">
        <f t="shared" ref="AE26:AE27" si="68">+AE8/Z8-1</f>
        <v>0.10769113894258964</v>
      </c>
      <c r="AF26" s="158">
        <f t="shared" ref="AF26:AF27" si="69">+AF8/AA8-1</f>
        <v>0.27063912244922839</v>
      </c>
      <c r="AG26" s="580">
        <f t="shared" ref="AG26:AL27" si="70">+AG8/AB8-1</f>
        <v>0.13554921787226681</v>
      </c>
      <c r="AH26" s="158">
        <f t="shared" si="70"/>
        <v>0.20504056776039614</v>
      </c>
      <c r="AI26" s="158">
        <f t="shared" si="70"/>
        <v>0.21594686147577558</v>
      </c>
      <c r="AJ26" s="158">
        <f t="shared" si="70"/>
        <v>0.18847806354009067</v>
      </c>
      <c r="AK26" s="158">
        <f t="shared" si="70"/>
        <v>0.22349562602764794</v>
      </c>
      <c r="AL26" s="580">
        <f t="shared" si="70"/>
        <v>0.20821130885334527</v>
      </c>
      <c r="AM26" s="158">
        <f t="shared" ref="AM26:AM27" si="71">+AM8/AH8-1</f>
        <v>0.14560947241516931</v>
      </c>
      <c r="AN26" s="158">
        <f t="shared" ref="AN26:AN27" si="72">+AN8/AI8-1</f>
        <v>0.14246462946446803</v>
      </c>
      <c r="AO26" s="158">
        <f t="shared" ref="AO26:AO27" si="73">+AO8/AJ8-1</f>
        <v>0.13809796986134604</v>
      </c>
      <c r="AP26" s="158">
        <f t="shared" ref="AP26:AP27" si="74">+AP8/AK8-1</f>
        <v>0.12560501202010643</v>
      </c>
      <c r="AQ26" s="580">
        <f t="shared" ref="AQ26:AQ27" si="75">+AQ8/AL8-1</f>
        <v>0.13758864444083319</v>
      </c>
      <c r="AR26" s="158">
        <f t="shared" ref="AR26:AR27" si="76">+AR8/AM8-1</f>
        <v>0.14493715408199837</v>
      </c>
      <c r="AS26" s="158">
        <f t="shared" ref="AS26:AS27" si="77">+AS8/AN8-1</f>
        <v>9.4607829439914415E-2</v>
      </c>
      <c r="AT26" s="158">
        <f t="shared" ref="AT26:AT27" si="78">+AT8/AO8-1</f>
        <v>0.11035408053344953</v>
      </c>
      <c r="AU26" s="158" t="e">
        <f t="shared" ref="AU26:AU27" si="79">+AU8/AP8-1</f>
        <v>#VALUE!</v>
      </c>
      <c r="AV26" s="580" t="e">
        <f t="shared" ref="AV26:AV27" si="80">+AV8/AQ8-1</f>
        <v>#VALUE!</v>
      </c>
      <c r="AW26" s="158" t="e">
        <f t="shared" ref="AW26:AW27" si="81">+AW8/AR8-1</f>
        <v>#VALUE!</v>
      </c>
      <c r="AX26" s="158" t="e">
        <f t="shared" ref="AX26:AX27" si="82">+AX8/AS8-1</f>
        <v>#VALUE!</v>
      </c>
      <c r="AY26" s="158">
        <f t="shared" ref="AY26:AY27" si="83">+AY8/AT8-1</f>
        <v>-1</v>
      </c>
      <c r="AZ26" s="158" t="e">
        <f t="shared" ref="AZ26:AZ27" si="84">+AZ8/AU8-1</f>
        <v>#VALUE!</v>
      </c>
      <c r="BA26" s="580" t="e">
        <f t="shared" ref="BA26:BA27" si="85">+BA8/AV8-1</f>
        <v>#VALUE!</v>
      </c>
      <c r="BB26" s="158" t="e">
        <f t="shared" ref="BB26:BB27" si="86">+BB8/AW8-1</f>
        <v>#VALUE!</v>
      </c>
      <c r="BC26" s="158" t="e">
        <f t="shared" ref="BC26:BC27" si="87">+BC8/AX8-1</f>
        <v>#VALUE!</v>
      </c>
      <c r="BD26" s="158" t="e">
        <f t="shared" ref="BD26:BD27" si="88">+BD8/AY8-1</f>
        <v>#DIV/0!</v>
      </c>
      <c r="BE26" s="158" t="e">
        <f t="shared" ref="BE26:BE27" si="89">+BE8/AZ8-1</f>
        <v>#DIV/0!</v>
      </c>
      <c r="BF26" s="580" t="e">
        <f t="shared" ref="BF26:BF27" si="90">+BF8/BA8-1</f>
        <v>#VALUE!</v>
      </c>
    </row>
    <row r="27" spans="2:58" s="150" customFormat="1" ht="13.15" hidden="1" outlineLevel="1">
      <c r="B27" s="151" t="str">
        <f>+B$9</f>
        <v>Other Security Revenue</v>
      </c>
      <c r="C27" s="159"/>
      <c r="D27" s="158"/>
      <c r="E27" s="158"/>
      <c r="F27" s="158"/>
      <c r="G27" s="158"/>
      <c r="H27" s="326">
        <v>0.57999999999999996</v>
      </c>
      <c r="I27" s="158">
        <f t="shared" si="46"/>
        <v>0.46778113350007078</v>
      </c>
      <c r="J27" s="158">
        <f t="shared" si="47"/>
        <v>0.48101622352411</v>
      </c>
      <c r="K27" s="158">
        <f t="shared" si="48"/>
        <v>0.44107494165230854</v>
      </c>
      <c r="L27" s="158">
        <f t="shared" si="49"/>
        <v>0.37978285026391423</v>
      </c>
      <c r="M27" s="158">
        <f t="shared" si="50"/>
        <v>0.43400475044535458</v>
      </c>
      <c r="N27" s="158">
        <f t="shared" si="51"/>
        <v>0.38260927808811918</v>
      </c>
      <c r="O27" s="158">
        <f t="shared" si="52"/>
        <v>0.55626893867356397</v>
      </c>
      <c r="P27" s="158">
        <f t="shared" si="53"/>
        <v>0.31062274634168041</v>
      </c>
      <c r="Q27" s="158">
        <f t="shared" si="54"/>
        <v>0.54951167008662516</v>
      </c>
      <c r="R27" s="580">
        <f t="shared" si="55"/>
        <v>0.45562109543989848</v>
      </c>
      <c r="S27" s="158">
        <f t="shared" si="56"/>
        <v>0.52572415182966048</v>
      </c>
      <c r="T27" s="158">
        <f t="shared" si="57"/>
        <v>0.36445356161749798</v>
      </c>
      <c r="U27" s="158">
        <f t="shared" si="58"/>
        <v>0.44250514343387293</v>
      </c>
      <c r="V27" s="158">
        <f t="shared" si="59"/>
        <v>0.36640765934039687</v>
      </c>
      <c r="W27" s="580">
        <f t="shared" si="60"/>
        <v>0.41434357196864768</v>
      </c>
      <c r="X27" s="158">
        <f t="shared" si="61"/>
        <v>0.23351025524764624</v>
      </c>
      <c r="Y27" s="158">
        <f t="shared" si="62"/>
        <v>0.2153873159966897</v>
      </c>
      <c r="Z27" s="158">
        <f t="shared" si="63"/>
        <v>0.20056982740351792</v>
      </c>
      <c r="AA27" s="158">
        <f t="shared" si="64"/>
        <v>0.33961612250606854</v>
      </c>
      <c r="AB27" s="580">
        <f t="shared" si="65"/>
        <v>0.2571548950756537</v>
      </c>
      <c r="AC27" s="158">
        <f t="shared" si="66"/>
        <v>0.36739503793214223</v>
      </c>
      <c r="AD27" s="158">
        <f t="shared" si="67"/>
        <v>0.35838968113139713</v>
      </c>
      <c r="AE27" s="158">
        <f t="shared" si="68"/>
        <v>0.38900952343594586</v>
      </c>
      <c r="AF27" s="158">
        <f t="shared" si="69"/>
        <v>0.20352338005973469</v>
      </c>
      <c r="AG27" s="580">
        <f t="shared" si="70"/>
        <v>0.31201970443349758</v>
      </c>
      <c r="AH27" s="158">
        <f t="shared" si="70"/>
        <v>0.27017789574744433</v>
      </c>
      <c r="AI27" s="158">
        <f t="shared" si="70"/>
        <v>0.2816737188528442</v>
      </c>
      <c r="AJ27" s="158">
        <f t="shared" si="70"/>
        <v>0.25272012102874442</v>
      </c>
      <c r="AK27" s="158">
        <f t="shared" si="70"/>
        <v>-5.1771636804747834E-2</v>
      </c>
      <c r="AL27" s="580">
        <f t="shared" si="70"/>
        <v>0.16346274185877685</v>
      </c>
      <c r="AM27" s="158">
        <f t="shared" si="71"/>
        <v>0.20596824335379793</v>
      </c>
      <c r="AN27" s="158">
        <f t="shared" si="72"/>
        <v>0.20265770793994076</v>
      </c>
      <c r="AO27" s="158">
        <f t="shared" si="73"/>
        <v>0.19806098197205957</v>
      </c>
      <c r="AP27" s="158">
        <f t="shared" si="74"/>
        <v>0.18490980717395811</v>
      </c>
      <c r="AQ27" s="580">
        <f t="shared" si="75"/>
        <v>0.19752482170325836</v>
      </c>
      <c r="AR27" s="158">
        <f t="shared" si="76"/>
        <v>0.14493715408199837</v>
      </c>
      <c r="AS27" s="158">
        <f t="shared" si="77"/>
        <v>0.20880791597511705</v>
      </c>
      <c r="AT27" s="158">
        <f t="shared" si="78"/>
        <v>0.16747105998475909</v>
      </c>
      <c r="AU27" s="158" t="e">
        <f t="shared" si="79"/>
        <v>#VALUE!</v>
      </c>
      <c r="AV27" s="580" t="e">
        <f t="shared" si="80"/>
        <v>#VALUE!</v>
      </c>
      <c r="AW27" s="158" t="e">
        <f t="shared" si="81"/>
        <v>#VALUE!</v>
      </c>
      <c r="AX27" s="158" t="e">
        <f t="shared" si="82"/>
        <v>#VALUE!</v>
      </c>
      <c r="AY27" s="158">
        <f t="shared" si="83"/>
        <v>3.0267359240379248</v>
      </c>
      <c r="AZ27" s="158" t="e">
        <f t="shared" si="84"/>
        <v>#VALUE!</v>
      </c>
      <c r="BA27" s="580" t="e">
        <f t="shared" si="85"/>
        <v>#VALUE!</v>
      </c>
      <c r="BB27" s="158" t="e">
        <f t="shared" si="86"/>
        <v>#VALUE!</v>
      </c>
      <c r="BC27" s="158" t="e">
        <f t="shared" si="87"/>
        <v>#VALUE!</v>
      </c>
      <c r="BD27" s="158">
        <f t="shared" si="88"/>
        <v>0.19657117807383684</v>
      </c>
      <c r="BE27" s="158">
        <f t="shared" si="89"/>
        <v>0.19192020404445254</v>
      </c>
      <c r="BF27" s="580" t="e">
        <f t="shared" si="90"/>
        <v>#VALUE!</v>
      </c>
    </row>
    <row r="28" spans="2:58" s="150" customFormat="1" ht="5.25" hidden="1" customHeight="1" outlineLevel="1">
      <c r="B28" s="155"/>
      <c r="C28" s="159"/>
      <c r="D28" s="272"/>
      <c r="E28" s="272"/>
      <c r="F28" s="272"/>
      <c r="G28" s="272"/>
      <c r="H28" s="272" t="s">
        <v>131</v>
      </c>
      <c r="I28" s="272" t="s">
        <v>131</v>
      </c>
      <c r="J28" s="272" t="s">
        <v>131</v>
      </c>
      <c r="K28" s="272" t="s">
        <v>131</v>
      </c>
      <c r="L28" s="272" t="s">
        <v>131</v>
      </c>
      <c r="M28" s="272" t="s">
        <v>131</v>
      </c>
      <c r="N28" s="272" t="s">
        <v>131</v>
      </c>
      <c r="O28" s="272" t="s">
        <v>131</v>
      </c>
      <c r="P28" s="272" t="s">
        <v>131</v>
      </c>
      <c r="Q28" s="272" t="s">
        <v>131</v>
      </c>
      <c r="R28" s="581" t="s">
        <v>131</v>
      </c>
      <c r="S28" s="272" t="s">
        <v>131</v>
      </c>
      <c r="T28" s="272" t="s">
        <v>131</v>
      </c>
      <c r="U28" s="272" t="s">
        <v>131</v>
      </c>
      <c r="V28" s="272" t="s">
        <v>131</v>
      </c>
      <c r="W28" s="581" t="s">
        <v>131</v>
      </c>
      <c r="X28" s="272" t="s">
        <v>131</v>
      </c>
      <c r="Y28" s="272" t="s">
        <v>131</v>
      </c>
      <c r="Z28" s="272" t="s">
        <v>131</v>
      </c>
      <c r="AA28" s="272" t="s">
        <v>131</v>
      </c>
      <c r="AB28" s="581" t="s">
        <v>131</v>
      </c>
      <c r="AC28" s="272" t="s">
        <v>131</v>
      </c>
      <c r="AD28" s="272" t="s">
        <v>131</v>
      </c>
      <c r="AE28" s="272" t="s">
        <v>131</v>
      </c>
      <c r="AF28" s="272" t="s">
        <v>131</v>
      </c>
      <c r="AG28" s="581" t="s">
        <v>131</v>
      </c>
      <c r="AH28" s="272" t="s">
        <v>131</v>
      </c>
      <c r="AI28" s="272" t="s">
        <v>131</v>
      </c>
      <c r="AJ28" s="272" t="s">
        <v>131</v>
      </c>
      <c r="AK28" s="272" t="s">
        <v>131</v>
      </c>
      <c r="AL28" s="581" t="s">
        <v>131</v>
      </c>
      <c r="AM28" s="272" t="s">
        <v>131</v>
      </c>
      <c r="AN28" s="272" t="s">
        <v>131</v>
      </c>
      <c r="AO28" s="272" t="s">
        <v>131</v>
      </c>
      <c r="AP28" s="272" t="s">
        <v>131</v>
      </c>
      <c r="AQ28" s="581" t="s">
        <v>131</v>
      </c>
      <c r="AR28" s="272" t="s">
        <v>131</v>
      </c>
      <c r="AS28" s="272" t="s">
        <v>131</v>
      </c>
      <c r="AT28" s="272" t="s">
        <v>131</v>
      </c>
      <c r="AU28" s="272" t="s">
        <v>131</v>
      </c>
      <c r="AV28" s="581" t="s">
        <v>131</v>
      </c>
      <c r="AW28" s="272" t="s">
        <v>131</v>
      </c>
      <c r="AX28" s="272" t="s">
        <v>131</v>
      </c>
      <c r="AY28" s="272" t="s">
        <v>131</v>
      </c>
      <c r="AZ28" s="272" t="s">
        <v>131</v>
      </c>
      <c r="BA28" s="581" t="s">
        <v>131</v>
      </c>
      <c r="BB28" s="272" t="s">
        <v>131</v>
      </c>
      <c r="BC28" s="272" t="s">
        <v>131</v>
      </c>
      <c r="BD28" s="272" t="s">
        <v>131</v>
      </c>
      <c r="BE28" s="272" t="s">
        <v>131</v>
      </c>
      <c r="BF28" s="581" t="s">
        <v>131</v>
      </c>
    </row>
    <row r="29" spans="2:58" s="150" customFormat="1" hidden="1" outlineLevel="1">
      <c r="B29" s="150" t="s">
        <v>130</v>
      </c>
      <c r="C29" s="159"/>
      <c r="D29" s="158"/>
      <c r="E29" s="158"/>
      <c r="F29" s="158"/>
      <c r="G29" s="158"/>
      <c r="H29" s="158"/>
      <c r="I29" s="158">
        <f t="shared" ref="I29" si="91">+I11/D11-1</f>
        <v>0.17422490680005653</v>
      </c>
      <c r="J29" s="158">
        <f t="shared" ref="J29" si="92">+J11/E11-1</f>
        <v>0.18481297881928804</v>
      </c>
      <c r="K29" s="158">
        <f t="shared" ref="K29" si="93">+K11/F11-1</f>
        <v>0.18676759900778372</v>
      </c>
      <c r="L29" s="158">
        <f t="shared" ref="L29" si="94">+L11/G11-1</f>
        <v>0.17771829500750402</v>
      </c>
      <c r="M29" s="158">
        <f t="shared" ref="M29" si="95">+M11/H11-1</f>
        <v>0.18094508860205649</v>
      </c>
      <c r="N29" s="158">
        <f t="shared" ref="N29" si="96">+N11/I11-1</f>
        <v>0.21994936301892865</v>
      </c>
      <c r="O29" s="158">
        <f t="shared" ref="O29" si="97">+O11/J11-1</f>
        <v>0.22863337263702421</v>
      </c>
      <c r="P29" s="158">
        <f t="shared" ref="P29" si="98">+P11/K11-1</f>
        <v>0.23781037154492046</v>
      </c>
      <c r="Q29" s="158">
        <f t="shared" ref="Q29" si="99">+Q11/L11-1</f>
        <v>0.25944419573676725</v>
      </c>
      <c r="R29" s="580">
        <f t="shared" ref="R29" si="100">+R11/M11-1</f>
        <v>0.23727793112391371</v>
      </c>
      <c r="S29" s="158">
        <f t="shared" ref="S29" si="101">+S11/N11-1</f>
        <v>0.23511002767163003</v>
      </c>
      <c r="T29" s="158">
        <f t="shared" ref="T29" si="102">+T11/O11-1</f>
        <v>0.23450560336821225</v>
      </c>
      <c r="U29" s="158">
        <f t="shared" ref="U29" si="103">+U11/P11-1</f>
        <v>0.23643298008617686</v>
      </c>
      <c r="V29" s="158">
        <f t="shared" ref="V29" si="104">+V11/Q11-1</f>
        <v>0.21524075137396426</v>
      </c>
      <c r="W29" s="580">
        <f t="shared" ref="W29" si="105">+W11/R11-1</f>
        <v>0.22986397562491101</v>
      </c>
      <c r="X29" s="158">
        <f t="shared" ref="X29" si="106">+X11/S11-1</f>
        <v>0.23351025524764624</v>
      </c>
      <c r="Y29" s="158">
        <f t="shared" ref="Y29" si="107">+Y11/T11-1</f>
        <v>0.21538731599668992</v>
      </c>
      <c r="Z29" s="158">
        <f t="shared" ref="Z29" si="108">+Z11/U11-1</f>
        <v>0.20056982740351792</v>
      </c>
      <c r="AA29" s="158">
        <f t="shared" ref="AA29" si="109">+AA11/V11-1</f>
        <v>0.1750253121835974</v>
      </c>
      <c r="AB29" s="580">
        <f t="shared" ref="AB29" si="110">+AB11/W11-1</f>
        <v>0.20477344111416818</v>
      </c>
      <c r="AC29" s="158">
        <f t="shared" ref="AC29" si="111">+AC11/X11-1</f>
        <v>0.14861183186299942</v>
      </c>
      <c r="AD29" s="158">
        <f t="shared" ref="AD29" si="112">+AD11/Y11-1</f>
        <v>0.14104733215037335</v>
      </c>
      <c r="AE29" s="158">
        <f t="shared" ref="AE29:AF29" si="113">+AE11/Z11-1</f>
        <v>0.1667679996861946</v>
      </c>
      <c r="AF29" s="158">
        <f t="shared" si="113"/>
        <v>0.24891390931372581</v>
      </c>
      <c r="AG29" s="580">
        <f t="shared" ref="AG29" si="114">+AG11/AB11-1</f>
        <v>0.17790213464696225</v>
      </c>
      <c r="AH29" s="158">
        <f t="shared" ref="AH29" si="115">+AH11/AC11-1</f>
        <v>0.22132489975715819</v>
      </c>
      <c r="AI29" s="158">
        <f t="shared" ref="AI29" si="116">+AI11/AD11-1</f>
        <v>0.23237857582004273</v>
      </c>
      <c r="AJ29" s="158">
        <f t="shared" ref="AJ29" si="117">+AJ11/AE11-1</f>
        <v>0.20453857791225416</v>
      </c>
      <c r="AK29" s="158">
        <f t="shared" ref="AK29" si="118">+AK11/AF11-1</f>
        <v>0.13763061287319478</v>
      </c>
      <c r="AL29" s="580">
        <f t="shared" ref="AL29" si="119">+AL11/AG11-1</f>
        <v>0.19624882064687665</v>
      </c>
      <c r="AM29" s="158">
        <f t="shared" ref="AM29" si="120">+AM11/AH11-1</f>
        <v>0.16130275285921258</v>
      </c>
      <c r="AN29" s="158">
        <f t="shared" ref="AN29" si="121">+AN11/AI11-1</f>
        <v>0.158114829868091</v>
      </c>
      <c r="AO29" s="158">
        <f t="shared" ref="AO29" si="122">+AO11/AJ11-1</f>
        <v>0.1536883530101314</v>
      </c>
      <c r="AP29" s="158">
        <f t="shared" ref="AP29" si="123">+AP11/AK11-1</f>
        <v>0.14102425876010782</v>
      </c>
      <c r="AQ29" s="580">
        <f t="shared" ref="AQ29" si="124">+AQ11/AL11-1</f>
        <v>0.15317205052906346</v>
      </c>
      <c r="AR29" s="158">
        <f t="shared" ref="AR29" si="125">+AR11/AM11-1</f>
        <v>0.14493715408199837</v>
      </c>
      <c r="AS29" s="158">
        <f t="shared" ref="AS29" si="126">+AS11/AN11-1</f>
        <v>0.12544185280441922</v>
      </c>
      <c r="AT29" s="158">
        <f t="shared" ref="AT29" si="127">+AT11/AO11-1</f>
        <v>0.12577566498530324</v>
      </c>
      <c r="AU29" s="158" t="e">
        <f t="shared" ref="AU29" si="128">+AU11/AP11-1</f>
        <v>#VALUE!</v>
      </c>
      <c r="AV29" s="580" t="e">
        <f t="shared" ref="AV29" si="129">+AV11/AQ11-1</f>
        <v>#VALUE!</v>
      </c>
      <c r="AW29" s="158" t="e">
        <f t="shared" ref="AW29" si="130">+AW11/AR11-1</f>
        <v>#VALUE!</v>
      </c>
      <c r="AX29" s="158" t="e">
        <f t="shared" ref="AX29" si="131">+AX11/AS11-1</f>
        <v>#VALUE!</v>
      </c>
      <c r="AY29" s="158">
        <f t="shared" ref="AY29" si="132">+AY11/AT11-1</f>
        <v>0.12748605873061924</v>
      </c>
      <c r="AZ29" s="158" t="e">
        <f t="shared" ref="AZ29" si="133">+AZ11/AU11-1</f>
        <v>#VALUE!</v>
      </c>
      <c r="BA29" s="580" t="e">
        <f t="shared" ref="BA29" si="134">+BA11/AV11-1</f>
        <v>#VALUE!</v>
      </c>
      <c r="BB29" s="158" t="e">
        <f t="shared" ref="BB29" si="135">+BB11/AW11-1</f>
        <v>#VALUE!</v>
      </c>
      <c r="BC29" s="158" t="e">
        <f t="shared" ref="BC29" si="136">+BC11/AX11-1</f>
        <v>#VALUE!</v>
      </c>
      <c r="BD29" s="158">
        <f t="shared" ref="BD29" si="137">+BD11/AY11-1</f>
        <v>0.19657117807383684</v>
      </c>
      <c r="BE29" s="158">
        <f t="shared" ref="BE29" si="138">+BE11/AZ11-1</f>
        <v>0.19192020404445254</v>
      </c>
      <c r="BF29" s="580" t="e">
        <f t="shared" ref="BF29" si="139">+BF11/BA11-1</f>
        <v>#VALUE!</v>
      </c>
    </row>
    <row r="30" spans="2:58" s="150" customFormat="1" hidden="1" outlineLevel="1">
      <c r="C30" s="159"/>
      <c r="D30" s="161"/>
      <c r="E30" s="161"/>
      <c r="F30" s="161"/>
      <c r="G30" s="161"/>
      <c r="I30" s="161"/>
      <c r="J30" s="161"/>
      <c r="K30" s="161"/>
      <c r="L30" s="161"/>
      <c r="N30" s="161"/>
      <c r="O30" s="161"/>
      <c r="P30" s="161"/>
      <c r="Q30" s="161"/>
      <c r="S30" s="161"/>
      <c r="T30" s="161"/>
      <c r="U30" s="161"/>
      <c r="V30" s="161"/>
      <c r="X30" s="161"/>
      <c r="Y30" s="161"/>
      <c r="Z30" s="161"/>
      <c r="AA30" s="161"/>
      <c r="AC30" s="161"/>
      <c r="AD30" s="161"/>
      <c r="AE30" s="161"/>
      <c r="AF30" s="161"/>
      <c r="AH30" s="161"/>
      <c r="AI30" s="161"/>
      <c r="AJ30" s="161"/>
      <c r="AK30" s="161"/>
      <c r="AM30" s="161"/>
      <c r="AN30" s="161"/>
      <c r="AO30" s="161"/>
      <c r="AP30" s="161"/>
      <c r="AR30" s="161"/>
      <c r="AS30" s="161"/>
      <c r="AT30" s="161"/>
      <c r="AU30" s="161"/>
      <c r="AW30" s="161"/>
      <c r="AX30" s="161"/>
      <c r="AY30" s="161"/>
      <c r="AZ30" s="161"/>
      <c r="BB30" s="161"/>
      <c r="BC30" s="161"/>
      <c r="BD30" s="161"/>
      <c r="BE30" s="161"/>
    </row>
    <row r="31" spans="2:58" s="150" customFormat="1" hidden="1" outlineLevel="1"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2"/>
      <c r="AQ31" s="162"/>
      <c r="AR31" s="162"/>
      <c r="AS31" s="162"/>
      <c r="AT31" s="162"/>
      <c r="AU31" s="162"/>
      <c r="AV31" s="162"/>
      <c r="AW31" s="162"/>
      <c r="AX31" s="162"/>
      <c r="AY31" s="162"/>
      <c r="AZ31" s="162"/>
      <c r="BA31" s="162"/>
      <c r="BB31" s="162"/>
      <c r="BC31" s="162"/>
      <c r="BD31" s="162"/>
      <c r="BE31" s="162"/>
      <c r="BF31" s="162"/>
    </row>
    <row r="32" spans="2:58" s="150" customFormat="1" ht="13.15" hidden="1" outlineLevel="1" thickBot="1">
      <c r="B32" s="197" t="s">
        <v>422</v>
      </c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3"/>
      <c r="AX32" s="163"/>
      <c r="AY32" s="163"/>
      <c r="AZ32" s="163"/>
      <c r="BA32" s="163"/>
      <c r="BB32" s="163"/>
      <c r="BC32" s="163"/>
      <c r="BD32" s="163"/>
      <c r="BE32" s="163"/>
      <c r="BF32" s="163"/>
    </row>
    <row r="33" spans="2:78" s="150" customFormat="1" hidden="1" outlineLevel="1"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42"/>
      <c r="AB33" s="642"/>
      <c r="AC33" s="642"/>
      <c r="AD33" s="642"/>
      <c r="AE33" s="642"/>
      <c r="AF33" s="642"/>
      <c r="AG33" s="642"/>
      <c r="AH33" s="642"/>
      <c r="AI33" s="642"/>
      <c r="AJ33" s="642"/>
      <c r="AK33" s="642"/>
      <c r="AL33" s="642"/>
      <c r="AM33" s="642"/>
      <c r="AN33" s="642"/>
      <c r="AO33" s="642"/>
      <c r="AP33" s="642"/>
      <c r="AQ33" s="642"/>
      <c r="AR33" s="642"/>
      <c r="AS33" s="642"/>
      <c r="AT33" s="642"/>
      <c r="AU33" s="642"/>
      <c r="AV33" s="642"/>
      <c r="AW33" s="642"/>
      <c r="AX33" s="642"/>
      <c r="AY33" s="642"/>
      <c r="AZ33" s="642"/>
      <c r="BA33" s="642"/>
      <c r="BB33" s="642"/>
      <c r="BC33" s="642"/>
      <c r="BD33" s="642"/>
      <c r="BE33" s="642"/>
      <c r="BF33" s="642"/>
    </row>
    <row r="34" spans="2:78" s="150" customFormat="1" hidden="1" outlineLevel="1">
      <c r="B34" s="150" t="s">
        <v>135</v>
      </c>
      <c r="C34" s="154"/>
      <c r="D34" s="154">
        <f>+IS!D9</f>
        <v>21191</v>
      </c>
      <c r="E34" s="154">
        <f>+IS!E9</f>
        <v>22190</v>
      </c>
      <c r="F34" s="154">
        <f>+IS!F9</f>
        <v>23382</v>
      </c>
      <c r="G34" s="154">
        <f>+IS!G9</f>
        <v>24657</v>
      </c>
      <c r="H34" s="154">
        <f>+IS!H9</f>
        <v>91420</v>
      </c>
      <c r="I34" s="154">
        <f>+IS!I9</f>
        <v>24883</v>
      </c>
      <c r="J34" s="154">
        <f>+IS!J9</f>
        <v>26291</v>
      </c>
      <c r="K34" s="154">
        <f>+IS!K9</f>
        <v>27749</v>
      </c>
      <c r="L34" s="154">
        <f>+IS!L9</f>
        <v>29039.000000000011</v>
      </c>
      <c r="M34" s="154">
        <f>+IS!M9</f>
        <v>107962.00000000001</v>
      </c>
      <c r="N34" s="154">
        <f>+IS!N9</f>
        <v>30356</v>
      </c>
      <c r="O34" s="154">
        <f>+IS!O9</f>
        <v>32302</v>
      </c>
      <c r="P34" s="154">
        <f>+IS!P9</f>
        <v>34348</v>
      </c>
      <c r="Q34" s="154">
        <f>+IS!Q9</f>
        <v>36573</v>
      </c>
      <c r="R34" s="154">
        <f>+IS!R9</f>
        <v>133579</v>
      </c>
      <c r="S34" s="154">
        <f>+IS!S9</f>
        <v>37493</v>
      </c>
      <c r="T34" s="154">
        <f>+IS!T9</f>
        <v>39877</v>
      </c>
      <c r="U34" s="154">
        <f>+IS!U9</f>
        <v>42469</v>
      </c>
      <c r="V34" s="154">
        <f>+IS!V9</f>
        <v>44445</v>
      </c>
      <c r="W34" s="154">
        <f>+IS!W9</f>
        <v>164284</v>
      </c>
      <c r="X34" s="154">
        <f>+IS!X9</f>
        <v>46248</v>
      </c>
      <c r="Y34" s="154">
        <f>+IS!Y9</f>
        <v>48466</v>
      </c>
      <c r="Z34" s="154">
        <f>+IS!Z9</f>
        <v>50987</v>
      </c>
      <c r="AA34" s="154">
        <f>+IS!AA9</f>
        <v>52224</v>
      </c>
      <c r="AB34" s="154">
        <f>+IS!AB9</f>
        <v>197925</v>
      </c>
      <c r="AC34" s="154">
        <f>+IS!AC9</f>
        <v>53121</v>
      </c>
      <c r="AD34" s="154">
        <f>+IS!AD9</f>
        <v>55302</v>
      </c>
      <c r="AE34" s="154">
        <f>+IS!AE9</f>
        <v>59490</v>
      </c>
      <c r="AF34" s="154">
        <f>+IS!AF9</f>
        <v>62915</v>
      </c>
      <c r="AG34" s="154">
        <f>+IS!AG9</f>
        <v>230828</v>
      </c>
      <c r="AH34" s="154">
        <f>+IS!AH9</f>
        <v>64878</v>
      </c>
      <c r="AI34" s="154">
        <f>+IS!AI9</f>
        <v>68153</v>
      </c>
      <c r="AJ34" s="154">
        <f>+IS!AJ9</f>
        <v>71658</v>
      </c>
      <c r="AK34" s="154">
        <f>+IS!AK9</f>
        <v>74200</v>
      </c>
      <c r="AL34" s="154">
        <f>+IS!AL9</f>
        <v>278889</v>
      </c>
      <c r="AM34" s="154">
        <f>+IS!AM9</f>
        <v>75343</v>
      </c>
      <c r="AN34" s="154">
        <f>+IS!AN9</f>
        <v>78929</v>
      </c>
      <c r="AO34" s="154">
        <f>+IS!AO9</f>
        <v>82671</v>
      </c>
      <c r="AP34" s="154">
        <f>+IS!AP9</f>
        <v>84664</v>
      </c>
      <c r="AQ34" s="154">
        <f>+IS!AQ9</f>
        <v>321607</v>
      </c>
      <c r="AR34" s="154">
        <f>+IS!AR9</f>
        <v>86263</v>
      </c>
      <c r="AS34" s="154">
        <f>+IS!AS9</f>
        <v>88830</v>
      </c>
      <c r="AT34" s="154">
        <f>+IS!AT9</f>
        <v>93069</v>
      </c>
      <c r="AU34" s="154">
        <f>+IS!AU9</f>
        <v>94801</v>
      </c>
      <c r="AV34" s="154">
        <f>+IS!AV9</f>
        <v>362963</v>
      </c>
      <c r="AW34" s="154">
        <f>+IS!AW9</f>
        <v>96756</v>
      </c>
      <c r="AX34" s="154">
        <f>+IS!AX9</f>
        <v>99702</v>
      </c>
      <c r="AY34" s="154">
        <f>+IS!AY9</f>
        <v>104934</v>
      </c>
      <c r="AZ34" s="154">
        <f>+IS!AZ9</f>
        <v>109780</v>
      </c>
      <c r="BA34" s="154">
        <f>+IS!BA9</f>
        <v>411172</v>
      </c>
      <c r="BB34" s="154">
        <f>+IS!BB9</f>
        <v>113420</v>
      </c>
      <c r="BC34" s="154">
        <f>+IS!BC9</f>
        <v>119893</v>
      </c>
      <c r="BD34" s="154">
        <f>+IS!BD9</f>
        <v>125561</v>
      </c>
      <c r="BE34" s="154">
        <f>+IS!BE9</f>
        <v>130849</v>
      </c>
      <c r="BF34" s="154">
        <f>+IS!BF9</f>
        <v>489723</v>
      </c>
    </row>
    <row r="35" spans="2:78" s="150" customFormat="1" hidden="1" outlineLevel="1">
      <c r="B35" s="150" t="s">
        <v>136</v>
      </c>
      <c r="D35" s="164">
        <f t="shared" ref="D35:AI35" si="140">D11-D34</f>
        <v>0</v>
      </c>
      <c r="E35" s="164">
        <f t="shared" si="140"/>
        <v>0</v>
      </c>
      <c r="F35" s="164">
        <f t="shared" si="140"/>
        <v>0</v>
      </c>
      <c r="G35" s="164">
        <f t="shared" si="140"/>
        <v>0</v>
      </c>
      <c r="H35" s="164">
        <f t="shared" si="140"/>
        <v>0</v>
      </c>
      <c r="I35" s="164">
        <f t="shared" si="140"/>
        <v>0</v>
      </c>
      <c r="J35" s="164">
        <f t="shared" si="140"/>
        <v>0</v>
      </c>
      <c r="K35" s="164">
        <f t="shared" si="140"/>
        <v>0</v>
      </c>
      <c r="L35" s="164">
        <f t="shared" si="140"/>
        <v>0</v>
      </c>
      <c r="M35" s="164">
        <f t="shared" si="140"/>
        <v>0</v>
      </c>
      <c r="N35" s="164">
        <f t="shared" si="140"/>
        <v>0</v>
      </c>
      <c r="O35" s="164">
        <f t="shared" si="140"/>
        <v>0</v>
      </c>
      <c r="P35" s="164">
        <f t="shared" si="140"/>
        <v>0</v>
      </c>
      <c r="Q35" s="164">
        <f t="shared" si="140"/>
        <v>0</v>
      </c>
      <c r="R35" s="164">
        <f t="shared" si="140"/>
        <v>0</v>
      </c>
      <c r="S35" s="164">
        <f t="shared" si="140"/>
        <v>0</v>
      </c>
      <c r="T35" s="164">
        <f t="shared" si="140"/>
        <v>0</v>
      </c>
      <c r="U35" s="164">
        <f t="shared" si="140"/>
        <v>0</v>
      </c>
      <c r="V35" s="164">
        <f t="shared" si="140"/>
        <v>0</v>
      </c>
      <c r="W35" s="164">
        <f t="shared" si="140"/>
        <v>0</v>
      </c>
      <c r="X35" s="164">
        <f t="shared" si="140"/>
        <v>0</v>
      </c>
      <c r="Y35" s="164">
        <f t="shared" si="140"/>
        <v>0</v>
      </c>
      <c r="Z35" s="164">
        <f t="shared" si="140"/>
        <v>0</v>
      </c>
      <c r="AA35" s="164">
        <f t="shared" si="140"/>
        <v>0</v>
      </c>
      <c r="AB35" s="164">
        <f t="shared" si="140"/>
        <v>0</v>
      </c>
      <c r="AC35" s="164">
        <f t="shared" si="140"/>
        <v>0</v>
      </c>
      <c r="AD35" s="164">
        <f t="shared" si="140"/>
        <v>0</v>
      </c>
      <c r="AE35" s="164">
        <f t="shared" si="140"/>
        <v>0</v>
      </c>
      <c r="AF35" s="164">
        <f t="shared" si="140"/>
        <v>2308.2800000000061</v>
      </c>
      <c r="AG35" s="164">
        <f t="shared" si="140"/>
        <v>2308.2799999999988</v>
      </c>
      <c r="AH35" s="164">
        <f t="shared" si="140"/>
        <v>0</v>
      </c>
      <c r="AI35" s="164">
        <f t="shared" si="140"/>
        <v>0</v>
      </c>
      <c r="AJ35" s="164">
        <f t="shared" ref="AJ35:BA35" si="141">AJ11-AJ34</f>
        <v>0</v>
      </c>
      <c r="AK35" s="164">
        <f t="shared" si="141"/>
        <v>0</v>
      </c>
      <c r="AL35" s="164">
        <f t="shared" si="141"/>
        <v>0</v>
      </c>
      <c r="AM35" s="164">
        <f t="shared" si="141"/>
        <v>0</v>
      </c>
      <c r="AN35" s="164">
        <f t="shared" si="141"/>
        <v>0</v>
      </c>
      <c r="AO35" s="164">
        <f t="shared" si="141"/>
        <v>0</v>
      </c>
      <c r="AP35" s="164">
        <f t="shared" si="141"/>
        <v>0</v>
      </c>
      <c r="AQ35" s="164">
        <f t="shared" si="141"/>
        <v>0</v>
      </c>
      <c r="AR35" s="164">
        <f t="shared" si="141"/>
        <v>0</v>
      </c>
      <c r="AS35" s="164">
        <f t="shared" si="141"/>
        <v>0</v>
      </c>
      <c r="AT35" s="164">
        <f t="shared" si="141"/>
        <v>0</v>
      </c>
      <c r="AU35" s="164" t="e">
        <f t="shared" si="141"/>
        <v>#VALUE!</v>
      </c>
      <c r="AV35" s="164" t="e">
        <f t="shared" si="141"/>
        <v>#VALUE!</v>
      </c>
      <c r="AW35" s="164" t="e">
        <f t="shared" si="141"/>
        <v>#VALUE!</v>
      </c>
      <c r="AX35" s="164" t="e">
        <f t="shared" si="141"/>
        <v>#VALUE!</v>
      </c>
      <c r="AY35" s="164">
        <f t="shared" si="141"/>
        <v>0</v>
      </c>
      <c r="AZ35" s="164">
        <f t="shared" si="141"/>
        <v>0</v>
      </c>
      <c r="BA35" s="164" t="e">
        <f t="shared" si="141"/>
        <v>#VALUE!</v>
      </c>
      <c r="BB35" s="164">
        <f t="shared" ref="BB35:BF35" si="142">BB11-BB34</f>
        <v>0</v>
      </c>
      <c r="BC35" s="164">
        <f t="shared" si="142"/>
        <v>0</v>
      </c>
      <c r="BD35" s="164">
        <f t="shared" si="142"/>
        <v>0</v>
      </c>
      <c r="BE35" s="164">
        <f t="shared" si="142"/>
        <v>0</v>
      </c>
      <c r="BF35" s="164">
        <f t="shared" si="142"/>
        <v>0</v>
      </c>
    </row>
    <row r="36" spans="2:78" hidden="1" outlineLevel="1"/>
    <row r="37" spans="2:78" ht="13.15" collapsed="1" thickBot="1">
      <c r="B37" s="640"/>
      <c r="C37" s="640"/>
      <c r="D37" s="641"/>
      <c r="E37" s="641"/>
      <c r="F37" s="641"/>
      <c r="G37" s="641"/>
      <c r="H37" s="641"/>
      <c r="I37" s="641"/>
      <c r="J37" s="641"/>
      <c r="K37" s="641"/>
      <c r="L37" s="641"/>
      <c r="M37" s="641"/>
      <c r="N37" s="641"/>
      <c r="O37" s="641"/>
      <c r="P37" s="641"/>
      <c r="Q37" s="641"/>
      <c r="R37" s="641"/>
      <c r="S37" s="641"/>
      <c r="T37" s="641"/>
      <c r="U37" s="641"/>
      <c r="V37" s="641"/>
      <c r="W37" s="641"/>
      <c r="X37" s="641"/>
      <c r="Y37" s="641"/>
      <c r="Z37" s="641"/>
      <c r="AA37" s="641"/>
      <c r="AB37" s="641"/>
      <c r="AC37" s="641"/>
      <c r="AD37" s="641"/>
      <c r="AE37" s="641"/>
      <c r="AF37" s="641"/>
      <c r="AG37" s="641"/>
      <c r="AH37" s="641"/>
      <c r="AI37" s="641"/>
      <c r="AJ37" s="641"/>
      <c r="AK37" s="641"/>
      <c r="AL37" s="641"/>
      <c r="AM37" s="641"/>
      <c r="AN37" s="641"/>
      <c r="AO37" s="641"/>
      <c r="AP37" s="641"/>
      <c r="AQ37" s="641"/>
      <c r="AR37" s="641"/>
      <c r="AS37" s="641"/>
      <c r="AT37" s="641"/>
      <c r="AU37" s="641"/>
      <c r="AV37" s="641"/>
      <c r="AW37" s="641"/>
      <c r="AX37" s="641"/>
      <c r="AY37" s="641"/>
      <c r="AZ37" s="641"/>
      <c r="BA37" s="641"/>
      <c r="BB37" s="641"/>
      <c r="BC37" s="641"/>
      <c r="BD37" s="641"/>
      <c r="BE37" s="641"/>
      <c r="BF37" s="641"/>
      <c r="BG37" s="641"/>
      <c r="BH37" s="641"/>
      <c r="BI37" s="641"/>
      <c r="BJ37" s="641"/>
      <c r="BK37" s="641"/>
      <c r="BL37" s="641"/>
      <c r="BM37" s="641"/>
      <c r="BN37" s="641"/>
      <c r="BO37" s="641"/>
      <c r="BP37" s="641"/>
      <c r="BQ37" s="641"/>
      <c r="BR37" s="641"/>
      <c r="BS37" s="641"/>
      <c r="BT37" s="641"/>
      <c r="BU37" s="641"/>
      <c r="BV37" s="641"/>
      <c r="BW37" s="641"/>
      <c r="BX37" s="641"/>
      <c r="BY37" s="641"/>
      <c r="BZ37" s="641"/>
    </row>
    <row r="38" spans="2:78" ht="17.649999999999999">
      <c r="B38" s="264" t="s">
        <v>340</v>
      </c>
      <c r="C38" s="127"/>
    </row>
    <row r="39" spans="2:78" s="150" customFormat="1" ht="13.15">
      <c r="B39" s="265" t="s">
        <v>292</v>
      </c>
      <c r="C39" s="265"/>
      <c r="D39" s="266"/>
      <c r="E39" s="267"/>
      <c r="F39" s="268"/>
      <c r="G39" s="268"/>
      <c r="H39" s="269"/>
      <c r="I39" s="266"/>
      <c r="J39" s="267"/>
      <c r="K39" s="268"/>
      <c r="L39" s="268"/>
      <c r="M39" s="269"/>
      <c r="N39" s="266"/>
      <c r="O39" s="267"/>
      <c r="P39" s="268"/>
      <c r="Q39" s="268"/>
      <c r="R39" s="269"/>
      <c r="S39" s="266"/>
      <c r="T39" s="267"/>
      <c r="U39" s="268"/>
      <c r="V39" s="268"/>
      <c r="W39" s="269"/>
      <c r="X39" s="266"/>
      <c r="Y39" s="267"/>
      <c r="Z39" s="268"/>
      <c r="AA39" s="268"/>
      <c r="AB39" s="269"/>
      <c r="BM39" s="714"/>
      <c r="BR39" s="714"/>
      <c r="BW39" s="714"/>
    </row>
    <row r="40" spans="2:78" s="150" customFormat="1" ht="13.15">
      <c r="B40" s="270"/>
      <c r="C40" s="270"/>
      <c r="D40" s="208" t="str">
        <f>+IS!D5</f>
        <v>2012A</v>
      </c>
      <c r="E40" s="209"/>
      <c r="F40" s="210"/>
      <c r="G40" s="210"/>
      <c r="H40" s="211" t="s">
        <v>239</v>
      </c>
      <c r="I40" s="208" t="str">
        <f>+IS!I5</f>
        <v>2013A</v>
      </c>
      <c r="J40" s="209"/>
      <c r="K40" s="210"/>
      <c r="L40" s="210"/>
      <c r="M40" s="211" t="s">
        <v>239</v>
      </c>
      <c r="N40" s="208" t="str">
        <f>+IS!N5</f>
        <v>2014A</v>
      </c>
      <c r="O40" s="209"/>
      <c r="P40" s="210"/>
      <c r="Q40" s="210"/>
      <c r="R40" s="519" t="s">
        <v>239</v>
      </c>
      <c r="S40" s="208" t="str">
        <f>+IS!S5</f>
        <v>2015A</v>
      </c>
      <c r="T40" s="209"/>
      <c r="U40" s="210"/>
      <c r="V40" s="210"/>
      <c r="W40" s="519" t="s">
        <v>239</v>
      </c>
      <c r="X40" s="208" t="str">
        <f>+IS!X5</f>
        <v>2016A</v>
      </c>
      <c r="Y40" s="209"/>
      <c r="Z40" s="210"/>
      <c r="AA40" s="210"/>
      <c r="AB40" s="519" t="s">
        <v>239</v>
      </c>
      <c r="AC40" s="208" t="str">
        <f>+IS!AC5</f>
        <v>2017A</v>
      </c>
      <c r="AD40" s="209"/>
      <c r="AE40" s="210"/>
      <c r="AF40" s="210"/>
      <c r="AG40" s="519" t="s">
        <v>239</v>
      </c>
      <c r="AH40" s="208" t="str">
        <f>+IS!AH5</f>
        <v>2018A</v>
      </c>
      <c r="AI40" s="209"/>
      <c r="AJ40" s="210"/>
      <c r="AK40" s="210"/>
      <c r="AL40" s="519" t="s">
        <v>239</v>
      </c>
      <c r="AM40" s="208" t="str">
        <f>+IS!AM5</f>
        <v>2019A</v>
      </c>
      <c r="AN40" s="209"/>
      <c r="AO40" s="210"/>
      <c r="AP40" s="210"/>
      <c r="AQ40" s="519" t="s">
        <v>239</v>
      </c>
      <c r="AR40" s="208" t="str">
        <f>+IS!AR5</f>
        <v>2020A</v>
      </c>
      <c r="AS40" s="209"/>
      <c r="AT40" s="210"/>
      <c r="AU40" s="210"/>
      <c r="AV40" s="519" t="s">
        <v>239</v>
      </c>
      <c r="AW40" s="208" t="str">
        <f>+IS!AW5</f>
        <v>2021A</v>
      </c>
      <c r="AX40" s="209"/>
      <c r="AY40" s="210"/>
      <c r="AZ40" s="210"/>
      <c r="BA40" s="519" t="s">
        <v>239</v>
      </c>
      <c r="BB40" s="208" t="str">
        <f>+IS!BB5</f>
        <v>2022A</v>
      </c>
      <c r="BC40" s="209"/>
      <c r="BD40" s="210"/>
      <c r="BE40" s="210"/>
      <c r="BF40" s="519" t="s">
        <v>239</v>
      </c>
      <c r="BG40" s="208" t="str">
        <f>+IS!BG5</f>
        <v>2023A</v>
      </c>
      <c r="BH40" s="208"/>
      <c r="BI40" s="208"/>
      <c r="BJ40" s="210"/>
      <c r="BK40" s="519" t="s">
        <v>239</v>
      </c>
      <c r="BL40" s="208" t="s">
        <v>473</v>
      </c>
      <c r="BM40" s="208"/>
      <c r="BN40" s="210"/>
      <c r="BO40" s="210"/>
      <c r="BP40" s="519" t="s">
        <v>239</v>
      </c>
      <c r="BQ40" s="208" t="s">
        <v>439</v>
      </c>
      <c r="BR40" s="208"/>
      <c r="BS40" s="210"/>
      <c r="BT40" s="210"/>
      <c r="BU40" s="519" t="s">
        <v>239</v>
      </c>
      <c r="BV40" s="208" t="s">
        <v>475</v>
      </c>
      <c r="BW40" s="208"/>
      <c r="BX40" s="210"/>
      <c r="BY40" s="210"/>
      <c r="BZ40" s="519" t="s">
        <v>239</v>
      </c>
    </row>
    <row r="41" spans="2:78" s="150" customFormat="1" ht="13.15">
      <c r="B41" s="206" t="s">
        <v>142</v>
      </c>
      <c r="C41" s="211"/>
      <c r="D41" s="211" t="str">
        <f>+IS!D6</f>
        <v>1Q-Mar 12A</v>
      </c>
      <c r="E41" s="211" t="str">
        <f>+IS!E6</f>
        <v>2Q-Jun 12A</v>
      </c>
      <c r="F41" s="211" t="str">
        <f>+IS!F6</f>
        <v>3Q-Sep 12A</v>
      </c>
      <c r="G41" s="211" t="str">
        <f>+IS!G6</f>
        <v>4Q-Dec 12A</v>
      </c>
      <c r="H41" s="211" t="str">
        <f>+IS!H6</f>
        <v>2012A</v>
      </c>
      <c r="I41" s="211" t="str">
        <f>+IS!I6</f>
        <v>1Q-Mar 13A</v>
      </c>
      <c r="J41" s="211" t="str">
        <f>+IS!J6</f>
        <v>2Q-Jun 13A</v>
      </c>
      <c r="K41" s="211" t="str">
        <f>+IS!K6</f>
        <v>3Q-Sep 13A</v>
      </c>
      <c r="L41" s="211" t="str">
        <f>+IS!L6</f>
        <v>4Q-Dec 13A</v>
      </c>
      <c r="M41" s="211" t="str">
        <f>+IS!M6</f>
        <v>2013A</v>
      </c>
      <c r="N41" s="211" t="str">
        <f>+IS!N6</f>
        <v>1Q-Mar 14A</v>
      </c>
      <c r="O41" s="211" t="str">
        <f>+IS!O6</f>
        <v>2Q-Jun 14A</v>
      </c>
      <c r="P41" s="211" t="str">
        <f>+IS!P6</f>
        <v>3Q-Sep 14A</v>
      </c>
      <c r="Q41" s="211" t="str">
        <f>+IS!Q6</f>
        <v>4Q-Dec 14A</v>
      </c>
      <c r="R41" s="519" t="str">
        <f>+IS!R6</f>
        <v>2014A</v>
      </c>
      <c r="S41" s="211" t="str">
        <f>+IS!S6</f>
        <v>1Q-Mar 15A</v>
      </c>
      <c r="T41" s="211" t="str">
        <f>+IS!T6</f>
        <v>2Q-Jun 15A</v>
      </c>
      <c r="U41" s="211" t="str">
        <f>+IS!U6</f>
        <v>3Q-Sep 15A</v>
      </c>
      <c r="V41" s="211" t="str">
        <f>+IS!V6</f>
        <v>4Q-Dec 15A</v>
      </c>
      <c r="W41" s="519" t="str">
        <f>+IS!W6</f>
        <v>2015A</v>
      </c>
      <c r="X41" s="211" t="str">
        <f>+IS!X6</f>
        <v>1Q-Mar 16A</v>
      </c>
      <c r="Y41" s="211" t="str">
        <f>+IS!Y6</f>
        <v>2Q-Jun 16A</v>
      </c>
      <c r="Z41" s="211" t="str">
        <f>+IS!Z6</f>
        <v>3Q-Sep 16A</v>
      </c>
      <c r="AA41" s="211" t="str">
        <f>+IS!AA6</f>
        <v>4Q-Dec 16A</v>
      </c>
      <c r="AB41" s="519" t="str">
        <f>+IS!AB6</f>
        <v>2016A</v>
      </c>
      <c r="AC41" s="211" t="str">
        <f>+IS!AC6</f>
        <v>1Q-Mar 17A</v>
      </c>
      <c r="AD41" s="211" t="str">
        <f>+IS!AD6</f>
        <v>2Q-Jun 17A</v>
      </c>
      <c r="AE41" s="211" t="str">
        <f>+IS!AE6</f>
        <v>3Q-Sep 17A</v>
      </c>
      <c r="AF41" s="211" t="str">
        <f>+IS!AF6</f>
        <v>4Q-Dec 17A</v>
      </c>
      <c r="AG41" s="519" t="str">
        <f>+IS!AG6</f>
        <v>2017A</v>
      </c>
      <c r="AH41" s="211" t="str">
        <f>+IS!AH6</f>
        <v>1Q-Mar 18A</v>
      </c>
      <c r="AI41" s="211" t="str">
        <f>+IS!AI6</f>
        <v>2Q-Jun 18A</v>
      </c>
      <c r="AJ41" s="211" t="str">
        <f>+IS!AJ6</f>
        <v>3Q-Sep 18A</v>
      </c>
      <c r="AK41" s="211" t="str">
        <f>+IS!AK6</f>
        <v>4Q-Dec 18A</v>
      </c>
      <c r="AL41" s="519" t="str">
        <f>+IS!AL6</f>
        <v>2018A</v>
      </c>
      <c r="AM41" s="467" t="str">
        <f>+IS!AM6</f>
        <v>1Q-Mar 19A</v>
      </c>
      <c r="AN41" s="467" t="str">
        <f>+IS!AN6</f>
        <v>2Q-Jun 19A</v>
      </c>
      <c r="AO41" s="467" t="str">
        <f>+IS!AO6</f>
        <v>3Q-Sep 19A</v>
      </c>
      <c r="AP41" s="211" t="str">
        <f>+IS!AP6</f>
        <v>4Q-Dec 19A</v>
      </c>
      <c r="AQ41" s="519" t="str">
        <f>+IS!AQ6</f>
        <v>2019A</v>
      </c>
      <c r="AR41" s="211" t="str">
        <f>+IS!AR6</f>
        <v>1Q-Mar 20A</v>
      </c>
      <c r="AS41" s="211" t="str">
        <f>+IS!AS6</f>
        <v>2Q-Jun 20A</v>
      </c>
      <c r="AT41" s="211" t="str">
        <f>+IS!AT6</f>
        <v>3Q-Sep 20A</v>
      </c>
      <c r="AU41" s="211" t="str">
        <f>+IS!AU6</f>
        <v>4Q-Dec 20A</v>
      </c>
      <c r="AV41" s="519" t="str">
        <f>+IS!AV6</f>
        <v>2020A</v>
      </c>
      <c r="AW41" s="211" t="str">
        <f>+IS!AW6</f>
        <v>1Q-Mar 21A</v>
      </c>
      <c r="AX41" s="211" t="str">
        <f>+IS!AX6</f>
        <v>2Q-Jun 21A</v>
      </c>
      <c r="AY41" s="211" t="str">
        <f>+IS!AY6</f>
        <v>3Q-Sep 21A</v>
      </c>
      <c r="AZ41" s="211" t="str">
        <f>+IS!AZ6</f>
        <v>4Q-Dec 21A</v>
      </c>
      <c r="BA41" s="519" t="str">
        <f>+IS!BA6</f>
        <v>2021A</v>
      </c>
      <c r="BB41" s="211" t="str">
        <f>+IS!BB6</f>
        <v>1Q-Mar 22A</v>
      </c>
      <c r="BC41" s="211" t="str">
        <f>+IS!BC6</f>
        <v>2Q-Jun 22A</v>
      </c>
      <c r="BD41" s="211" t="str">
        <f>+IS!BD6</f>
        <v>3Q-Sep 22A</v>
      </c>
      <c r="BE41" s="211" t="str">
        <f>+IS!BE6</f>
        <v>4Q-Dec 22A</v>
      </c>
      <c r="BF41" s="519" t="str">
        <f>+IS!BF6</f>
        <v>2022A</v>
      </c>
      <c r="BG41" s="211" t="str">
        <f>+IS!BG6</f>
        <v>1Q-Mar 23A</v>
      </c>
      <c r="BH41" s="211" t="str">
        <f>+IS!BH6</f>
        <v>2Q-Jun 23A</v>
      </c>
      <c r="BI41" s="211" t="str">
        <f>+IS!BI6</f>
        <v>3Q-Sep 23A</v>
      </c>
      <c r="BJ41" s="211" t="str">
        <f>+IS!BJ6</f>
        <v>4Q-Dec 23A</v>
      </c>
      <c r="BK41" s="519" t="str">
        <f>+IS!BK6</f>
        <v>2023A</v>
      </c>
      <c r="BL41" s="211" t="str">
        <f>+IS!BL6</f>
        <v>1Q-Mar 24A</v>
      </c>
      <c r="BM41" s="211" t="str">
        <f>+IS!BM6</f>
        <v>2Q-Jun 24A</v>
      </c>
      <c r="BN41" s="211" t="str">
        <f>+IS!BN6</f>
        <v>3Q-Sep 24A</v>
      </c>
      <c r="BO41" s="211" t="str">
        <f>+IS!BO6</f>
        <v>4Q-Dec 24A</v>
      </c>
      <c r="BP41" s="519" t="str">
        <f>+IS!BP6</f>
        <v>2024A</v>
      </c>
      <c r="BQ41" s="211" t="str">
        <f>+IS!BQ6</f>
        <v>1Q-Mar 25A</v>
      </c>
      <c r="BR41" s="211" t="str">
        <f>+IS!BR6</f>
        <v>2Q-Jun 25A</v>
      </c>
      <c r="BS41" s="211" t="str">
        <f>+IS!BS6</f>
        <v>3Q-Sep 25A</v>
      </c>
      <c r="BT41" s="211" t="str">
        <f>+IS!BT6</f>
        <v>4Q-Dec 25A</v>
      </c>
      <c r="BU41" s="519" t="str">
        <f>+IS!BU6</f>
        <v>2025A</v>
      </c>
      <c r="BV41" s="211" t="str">
        <f>+IS!BV6</f>
        <v>1Q-Mar 26E</v>
      </c>
      <c r="BW41" s="211" t="str">
        <f>+IS!BW6</f>
        <v>2Q-Jun 26E</v>
      </c>
      <c r="BX41" s="211" t="str">
        <f>+IS!BX6</f>
        <v>3Q-Sep 26E</v>
      </c>
      <c r="BY41" s="211" t="str">
        <f>+IS!BY6</f>
        <v>4Q-Dec 26E</v>
      </c>
      <c r="BZ41" s="519" t="str">
        <f>+IS!BZ6</f>
        <v>2026E</v>
      </c>
    </row>
    <row r="42" spans="2:78" s="150" customFormat="1">
      <c r="R42" s="576"/>
      <c r="W42" s="576"/>
      <c r="AB42" s="576"/>
      <c r="AG42" s="576"/>
      <c r="AL42" s="576"/>
      <c r="AN42" s="468"/>
      <c r="AO42" s="468"/>
      <c r="AQ42" s="576"/>
      <c r="AV42" s="686"/>
      <c r="BA42" s="576"/>
      <c r="BF42" s="576"/>
      <c r="BK42" s="576"/>
      <c r="BP42" s="576"/>
      <c r="BU42" s="576"/>
      <c r="BZ42" s="576"/>
    </row>
    <row r="43" spans="2:78" s="150" customFormat="1" ht="13.15">
      <c r="B43" s="151" t="s">
        <v>341</v>
      </c>
      <c r="C43" s="151"/>
      <c r="D43" s="153"/>
      <c r="E43" s="153"/>
      <c r="F43" s="153"/>
      <c r="G43" s="153">
        <f>H43-SUM(D43:F43)</f>
        <v>0</v>
      </c>
      <c r="H43" s="153"/>
      <c r="I43" s="153"/>
      <c r="J43" s="153"/>
      <c r="K43" s="153"/>
      <c r="L43" s="153">
        <f>M43-SUM(I43:K43)</f>
        <v>0</v>
      </c>
      <c r="M43" s="153"/>
      <c r="N43" s="153"/>
      <c r="O43" s="153"/>
      <c r="P43" s="153"/>
      <c r="Q43" s="153">
        <f>R43-SUM(N43:P43)</f>
        <v>0</v>
      </c>
      <c r="R43" s="577"/>
      <c r="S43" s="153"/>
      <c r="T43" s="153"/>
      <c r="U43" s="153"/>
      <c r="V43" s="153">
        <f>W43-SUM(S43:U43)</f>
        <v>0</v>
      </c>
      <c r="W43" s="577"/>
      <c r="X43" s="153"/>
      <c r="Y43" s="153"/>
      <c r="Z43" s="153"/>
      <c r="AA43" s="153">
        <f>AB43-SUM(X43:Z43)</f>
        <v>0</v>
      </c>
      <c r="AB43" s="577"/>
      <c r="AC43" s="153">
        <v>31014</v>
      </c>
      <c r="AD43" s="153">
        <v>32683</v>
      </c>
      <c r="AE43" s="153">
        <v>30974</v>
      </c>
      <c r="AF43" s="153">
        <f>AG43-SUM(AC43:AE43)</f>
        <v>45168</v>
      </c>
      <c r="AG43" s="577">
        <v>139839</v>
      </c>
      <c r="AH43" s="625">
        <v>38710</v>
      </c>
      <c r="AI43" s="625">
        <v>35294</v>
      </c>
      <c r="AJ43" s="625">
        <v>36440</v>
      </c>
      <c r="AK43" s="625">
        <f>AL43-SUM(AH43:AJ43)</f>
        <v>53640</v>
      </c>
      <c r="AL43" s="577">
        <v>164084</v>
      </c>
      <c r="AM43" s="625">
        <v>43039</v>
      </c>
      <c r="AN43" s="624">
        <v>45672</v>
      </c>
      <c r="AO43" s="624">
        <v>47997</v>
      </c>
      <c r="AP43" s="624">
        <v>49422</v>
      </c>
      <c r="AQ43" s="577">
        <f>+SUM(AM43:AP43)</f>
        <v>186130</v>
      </c>
      <c r="AR43" s="153">
        <v>50005</v>
      </c>
      <c r="AS43" s="153">
        <v>51805</v>
      </c>
      <c r="AT43" s="153">
        <v>54821</v>
      </c>
      <c r="AU43" s="153">
        <f>AV43-SUM(AR43:AT43)</f>
        <v>55665</v>
      </c>
      <c r="AV43" s="696">
        <f>212296</f>
        <v>212296</v>
      </c>
      <c r="AW43" s="153">
        <f>57952</f>
        <v>57952</v>
      </c>
      <c r="AX43" s="153">
        <f>58782</f>
        <v>58782</v>
      </c>
      <c r="AY43" s="153">
        <f>61554</f>
        <v>61554</v>
      </c>
      <c r="AZ43" s="153">
        <f>62510</f>
        <v>62510</v>
      </c>
      <c r="BA43" s="577">
        <f>SUM(AZ43,AY43,AX43,AW43)</f>
        <v>240798</v>
      </c>
      <c r="BB43" s="153">
        <f>66452</f>
        <v>66452</v>
      </c>
      <c r="BC43" s="153">
        <f>70176</f>
        <v>70176</v>
      </c>
      <c r="BD43" s="153">
        <f>73235</f>
        <v>73235</v>
      </c>
      <c r="BE43" s="153">
        <f>BF43-SUM(BB43:BD43)</f>
        <v>74176.339999999967</v>
      </c>
      <c r="BF43" s="577">
        <f>BF49*IS!BF9</f>
        <v>284039.33999999997</v>
      </c>
      <c r="BG43" s="153">
        <f>75093</f>
        <v>75093</v>
      </c>
      <c r="BH43" s="153">
        <f>78818</f>
        <v>78818</v>
      </c>
      <c r="BI43" s="153">
        <f>80499</f>
        <v>80499</v>
      </c>
      <c r="BJ43" s="153">
        <f>BK43-SUM(BG43:BI43)</f>
        <v>80578</v>
      </c>
      <c r="BK43" s="577">
        <f>314988</f>
        <v>314988</v>
      </c>
      <c r="BL43" s="625">
        <v>80126</v>
      </c>
      <c r="BM43" s="625">
        <f>80303</f>
        <v>80303</v>
      </c>
      <c r="BN43" s="625">
        <f>81636</f>
        <v>81636</v>
      </c>
      <c r="BO43" s="625">
        <f>BO69-BO44</f>
        <v>83336.488500000007</v>
      </c>
      <c r="BP43" s="577">
        <f>SUM(BL43:BO43)</f>
        <v>325401.48849999998</v>
      </c>
      <c r="BQ43" s="625">
        <f>81728</f>
        <v>81728</v>
      </c>
      <c r="BR43" s="625">
        <f>83854</f>
        <v>83854</v>
      </c>
      <c r="BS43" s="625">
        <f>85722</f>
        <v>85722</v>
      </c>
      <c r="BT43" s="153"/>
      <c r="BU43" s="577">
        <f>SUM(BQ43:BT43)</f>
        <v>251304</v>
      </c>
      <c r="BV43" s="153"/>
      <c r="BW43" s="153"/>
      <c r="BX43" s="153"/>
      <c r="BY43" s="153"/>
      <c r="BZ43" s="577">
        <f>SUM(BV43:BY43)</f>
        <v>0</v>
      </c>
    </row>
    <row r="44" spans="2:78" s="150" customFormat="1" ht="13.15">
      <c r="B44" s="151" t="s">
        <v>342</v>
      </c>
      <c r="C44" s="151"/>
      <c r="D44" s="153"/>
      <c r="E44" s="153"/>
      <c r="F44" s="153"/>
      <c r="G44" s="153">
        <f>H44-SUM(D44:F44)</f>
        <v>0</v>
      </c>
      <c r="H44" s="153"/>
      <c r="I44" s="153"/>
      <c r="J44" s="153"/>
      <c r="K44" s="153"/>
      <c r="L44" s="153">
        <f>M44-SUM(I44:K44)</f>
        <v>0</v>
      </c>
      <c r="M44" s="153"/>
      <c r="N44" s="153"/>
      <c r="O44" s="153"/>
      <c r="P44" s="153"/>
      <c r="Q44" s="153">
        <f>R44-SUM(N44:P44)</f>
        <v>0</v>
      </c>
      <c r="R44" s="577"/>
      <c r="S44" s="153"/>
      <c r="T44" s="153"/>
      <c r="U44" s="153"/>
      <c r="V44" s="153">
        <f>W44-SUM(S44:U44)</f>
        <v>0</v>
      </c>
      <c r="W44" s="577"/>
      <c r="X44" s="153"/>
      <c r="Y44" s="153"/>
      <c r="Z44" s="153"/>
      <c r="AA44" s="153">
        <f>AB44-SUM(X44:Z44)</f>
        <v>0</v>
      </c>
      <c r="AB44" s="577"/>
      <c r="AC44" s="153">
        <v>22107</v>
      </c>
      <c r="AD44" s="153">
        <v>22619</v>
      </c>
      <c r="AE44" s="153">
        <v>28516</v>
      </c>
      <c r="AF44" s="153">
        <f>AG44-SUM(AC44:AE44)</f>
        <v>17747</v>
      </c>
      <c r="AG44" s="577">
        <v>90989</v>
      </c>
      <c r="AH44" s="625">
        <v>26168</v>
      </c>
      <c r="AI44" s="625">
        <v>32859</v>
      </c>
      <c r="AJ44" s="625">
        <v>35218</v>
      </c>
      <c r="AK44" s="625">
        <f>AL44-SUM(AH44:AJ44)</f>
        <v>20560</v>
      </c>
      <c r="AL44" s="577">
        <v>114805</v>
      </c>
      <c r="AM44" s="625">
        <v>32304</v>
      </c>
      <c r="AN44" s="625">
        <v>33257</v>
      </c>
      <c r="AO44" s="624">
        <f>+AO69-AO43</f>
        <v>34674</v>
      </c>
      <c r="AP44" s="624">
        <v>35242</v>
      </c>
      <c r="AQ44" s="577">
        <f>+SUM(AM44:AP44)</f>
        <v>135477</v>
      </c>
      <c r="AR44" s="153">
        <v>36258</v>
      </c>
      <c r="AS44" s="153">
        <v>37025</v>
      </c>
      <c r="AT44" s="153">
        <v>38248</v>
      </c>
      <c r="AU44" s="153">
        <f>AV44-SUM(AR44:AT44)</f>
        <v>39136</v>
      </c>
      <c r="AV44" s="696">
        <f>150667</f>
        <v>150667</v>
      </c>
      <c r="AW44" s="153">
        <f>38804</f>
        <v>38804</v>
      </c>
      <c r="AX44" s="153">
        <f>40920</f>
        <v>40920</v>
      </c>
      <c r="AY44" s="153">
        <f>43380</f>
        <v>43380</v>
      </c>
      <c r="AZ44" s="153">
        <f>AZ46-AZ43</f>
        <v>47270</v>
      </c>
      <c r="BA44" s="577">
        <f>SUM(AZ44,AY44,AX44,AW44)</f>
        <v>170374</v>
      </c>
      <c r="BB44" s="153">
        <f>46968</f>
        <v>46968</v>
      </c>
      <c r="BC44" s="153">
        <f>49717</f>
        <v>49717</v>
      </c>
      <c r="BD44" s="153">
        <f>52326</f>
        <v>52326</v>
      </c>
      <c r="BE44" s="153">
        <f>BF44-SUM(BB44:BD44)</f>
        <v>56672.66</v>
      </c>
      <c r="BF44" s="577">
        <f>BF50*IS!BF9</f>
        <v>205683.66</v>
      </c>
      <c r="BG44" s="153">
        <f>55590</f>
        <v>55590</v>
      </c>
      <c r="BH44" s="153">
        <f>BH46-BH43</f>
        <v>58391</v>
      </c>
      <c r="BI44" s="153">
        <f>BI69-BI43</f>
        <v>61497</v>
      </c>
      <c r="BJ44" s="153">
        <f>BK44-SUM(BG44:BI44)</f>
        <v>63992</v>
      </c>
      <c r="BK44" s="577">
        <f>239470</f>
        <v>239470</v>
      </c>
      <c r="BL44" s="625">
        <f>BL69-BL43</f>
        <v>65679</v>
      </c>
      <c r="BM44" s="625">
        <f>68405</f>
        <v>68405</v>
      </c>
      <c r="BN44" s="625">
        <f>BN69-BN43</f>
        <v>72231</v>
      </c>
      <c r="BO44" s="625">
        <f>BO50*BO69</f>
        <v>75854.511499999993</v>
      </c>
      <c r="BP44" s="577">
        <f>SUM(BL44:BO44)</f>
        <v>282169.51150000002</v>
      </c>
      <c r="BQ44" s="625">
        <f>78171</f>
        <v>78171</v>
      </c>
      <c r="BR44" s="625">
        <f>80208</f>
        <v>80208</v>
      </c>
      <c r="BS44" s="625">
        <f>84160</f>
        <v>84160</v>
      </c>
      <c r="BT44" s="153"/>
      <c r="BU44" s="577">
        <f>SUM(BQ44:BT44)</f>
        <v>242539</v>
      </c>
      <c r="BV44" s="153"/>
      <c r="BW44" s="153"/>
      <c r="BX44" s="153"/>
      <c r="BY44" s="153"/>
      <c r="BZ44" s="577">
        <f>SUM(BV44:BY44)</f>
        <v>0</v>
      </c>
    </row>
    <row r="45" spans="2:78" s="150" customFormat="1" ht="8.25" customHeight="1">
      <c r="B45" s="155"/>
      <c r="C45" s="156"/>
      <c r="D45" s="271" t="s">
        <v>131</v>
      </c>
      <c r="E45" s="271" t="s">
        <v>131</v>
      </c>
      <c r="F45" s="271" t="s">
        <v>131</v>
      </c>
      <c r="G45" s="271" t="s">
        <v>131</v>
      </c>
      <c r="H45" s="271" t="s">
        <v>131</v>
      </c>
      <c r="I45" s="271" t="s">
        <v>131</v>
      </c>
      <c r="J45" s="271" t="s">
        <v>131</v>
      </c>
      <c r="K45" s="271" t="s">
        <v>131</v>
      </c>
      <c r="L45" s="271" t="s">
        <v>131</v>
      </c>
      <c r="M45" s="271" t="s">
        <v>131</v>
      </c>
      <c r="N45" s="271" t="s">
        <v>131</v>
      </c>
      <c r="O45" s="271" t="s">
        <v>131</v>
      </c>
      <c r="P45" s="271" t="s">
        <v>131</v>
      </c>
      <c r="Q45" s="271" t="s">
        <v>131</v>
      </c>
      <c r="R45" s="547" t="s">
        <v>131</v>
      </c>
      <c r="S45" s="271" t="s">
        <v>131</v>
      </c>
      <c r="T45" s="271" t="s">
        <v>131</v>
      </c>
      <c r="U45" s="271" t="s">
        <v>131</v>
      </c>
      <c r="V45" s="271" t="s">
        <v>131</v>
      </c>
      <c r="W45" s="547" t="s">
        <v>131</v>
      </c>
      <c r="X45" s="271" t="s">
        <v>131</v>
      </c>
      <c r="Y45" s="271" t="s">
        <v>131</v>
      </c>
      <c r="Z45" s="271" t="s">
        <v>131</v>
      </c>
      <c r="AA45" s="271" t="s">
        <v>131</v>
      </c>
      <c r="AB45" s="547" t="s">
        <v>131</v>
      </c>
      <c r="AC45" s="271" t="s">
        <v>131</v>
      </c>
      <c r="AD45" s="271" t="s">
        <v>131</v>
      </c>
      <c r="AE45" s="271" t="s">
        <v>131</v>
      </c>
      <c r="AF45" s="271" t="s">
        <v>131</v>
      </c>
      <c r="AG45" s="547" t="s">
        <v>131</v>
      </c>
      <c r="AH45" s="271" t="s">
        <v>131</v>
      </c>
      <c r="AI45" s="271" t="s">
        <v>131</v>
      </c>
      <c r="AJ45" s="271" t="s">
        <v>131</v>
      </c>
      <c r="AK45" s="271" t="s">
        <v>131</v>
      </c>
      <c r="AL45" s="547" t="s">
        <v>131</v>
      </c>
      <c r="AM45" s="271" t="s">
        <v>131</v>
      </c>
      <c r="AN45" s="271" t="s">
        <v>131</v>
      </c>
      <c r="AO45" s="623" t="s">
        <v>131</v>
      </c>
      <c r="AP45" s="271" t="s">
        <v>131</v>
      </c>
      <c r="AQ45" s="547" t="s">
        <v>131</v>
      </c>
      <c r="AR45" s="271" t="s">
        <v>131</v>
      </c>
      <c r="AS45" s="271" t="s">
        <v>131</v>
      </c>
      <c r="AT45" s="271" t="s">
        <v>131</v>
      </c>
      <c r="AU45" s="271" t="s">
        <v>131</v>
      </c>
      <c r="AV45" s="687" t="s">
        <v>131</v>
      </c>
      <c r="AW45" s="271" t="s">
        <v>131</v>
      </c>
      <c r="AX45" s="271" t="s">
        <v>131</v>
      </c>
      <c r="AY45" s="271" t="s">
        <v>131</v>
      </c>
      <c r="AZ45" s="271" t="s">
        <v>131</v>
      </c>
      <c r="BA45" s="547" t="s">
        <v>131</v>
      </c>
      <c r="BB45" s="271" t="s">
        <v>131</v>
      </c>
      <c r="BC45" s="271" t="s">
        <v>131</v>
      </c>
      <c r="BD45" s="271" t="s">
        <v>131</v>
      </c>
      <c r="BE45" s="271" t="s">
        <v>131</v>
      </c>
      <c r="BF45" s="547" t="s">
        <v>131</v>
      </c>
      <c r="BG45" s="271" t="s">
        <v>131</v>
      </c>
      <c r="BH45" s="271" t="s">
        <v>131</v>
      </c>
      <c r="BI45" s="271" t="s">
        <v>131</v>
      </c>
      <c r="BJ45" s="271" t="s">
        <v>131</v>
      </c>
      <c r="BK45" s="547" t="s">
        <v>131</v>
      </c>
      <c r="BL45" s="271" t="s">
        <v>131</v>
      </c>
      <c r="BM45" s="271" t="s">
        <v>131</v>
      </c>
      <c r="BN45" s="271" t="s">
        <v>131</v>
      </c>
      <c r="BO45" s="271" t="s">
        <v>131</v>
      </c>
      <c r="BP45" s="547" t="s">
        <v>131</v>
      </c>
      <c r="BQ45" s="271" t="s">
        <v>131</v>
      </c>
      <c r="BR45" s="271" t="s">
        <v>131</v>
      </c>
      <c r="BS45" s="271" t="s">
        <v>131</v>
      </c>
      <c r="BT45" s="271" t="s">
        <v>131</v>
      </c>
      <c r="BU45" s="547" t="s">
        <v>131</v>
      </c>
      <c r="BV45" s="271" t="s">
        <v>131</v>
      </c>
      <c r="BW45" s="271" t="s">
        <v>131</v>
      </c>
      <c r="BX45" s="271" t="s">
        <v>131</v>
      </c>
      <c r="BY45" s="271" t="s">
        <v>131</v>
      </c>
      <c r="BZ45" s="547" t="s">
        <v>131</v>
      </c>
    </row>
    <row r="46" spans="2:78" s="150" customFormat="1">
      <c r="B46" s="150" t="s">
        <v>130</v>
      </c>
      <c r="D46" s="154">
        <f t="shared" ref="D46:AI46" si="143">SUM(D43:D44)</f>
        <v>0</v>
      </c>
      <c r="E46" s="154">
        <f t="shared" si="143"/>
        <v>0</v>
      </c>
      <c r="F46" s="154">
        <f t="shared" si="143"/>
        <v>0</v>
      </c>
      <c r="G46" s="154">
        <f t="shared" si="143"/>
        <v>0</v>
      </c>
      <c r="H46" s="154">
        <f t="shared" si="143"/>
        <v>0</v>
      </c>
      <c r="I46" s="154">
        <f t="shared" si="143"/>
        <v>0</v>
      </c>
      <c r="J46" s="154">
        <f t="shared" si="143"/>
        <v>0</v>
      </c>
      <c r="K46" s="154">
        <f t="shared" si="143"/>
        <v>0</v>
      </c>
      <c r="L46" s="154">
        <f t="shared" si="143"/>
        <v>0</v>
      </c>
      <c r="M46" s="154">
        <f t="shared" si="143"/>
        <v>0</v>
      </c>
      <c r="N46" s="154">
        <f t="shared" si="143"/>
        <v>0</v>
      </c>
      <c r="O46" s="154">
        <f t="shared" si="143"/>
        <v>0</v>
      </c>
      <c r="P46" s="154">
        <f t="shared" si="143"/>
        <v>0</v>
      </c>
      <c r="Q46" s="154">
        <f t="shared" si="143"/>
        <v>0</v>
      </c>
      <c r="R46" s="578">
        <f t="shared" si="143"/>
        <v>0</v>
      </c>
      <c r="S46" s="154">
        <f t="shared" si="143"/>
        <v>0</v>
      </c>
      <c r="T46" s="154">
        <f t="shared" si="143"/>
        <v>0</v>
      </c>
      <c r="U46" s="154">
        <f t="shared" si="143"/>
        <v>0</v>
      </c>
      <c r="V46" s="154">
        <f t="shared" si="143"/>
        <v>0</v>
      </c>
      <c r="W46" s="578">
        <f t="shared" si="143"/>
        <v>0</v>
      </c>
      <c r="X46" s="154">
        <f t="shared" si="143"/>
        <v>0</v>
      </c>
      <c r="Y46" s="154">
        <f t="shared" si="143"/>
        <v>0</v>
      </c>
      <c r="Z46" s="154">
        <f t="shared" si="143"/>
        <v>0</v>
      </c>
      <c r="AA46" s="154">
        <f t="shared" si="143"/>
        <v>0</v>
      </c>
      <c r="AB46" s="578">
        <f t="shared" si="143"/>
        <v>0</v>
      </c>
      <c r="AC46" s="154">
        <f t="shared" si="143"/>
        <v>53121</v>
      </c>
      <c r="AD46" s="154">
        <f t="shared" si="143"/>
        <v>55302</v>
      </c>
      <c r="AE46" s="154">
        <f t="shared" si="143"/>
        <v>59490</v>
      </c>
      <c r="AF46" s="154">
        <f t="shared" si="143"/>
        <v>62915</v>
      </c>
      <c r="AG46" s="578">
        <f t="shared" si="143"/>
        <v>230828</v>
      </c>
      <c r="AH46" s="154">
        <f t="shared" si="143"/>
        <v>64878</v>
      </c>
      <c r="AI46" s="154">
        <f t="shared" si="143"/>
        <v>68153</v>
      </c>
      <c r="AJ46" s="154">
        <f t="shared" ref="AJ46:BA46" si="144">SUM(AJ43:AJ44)</f>
        <v>71658</v>
      </c>
      <c r="AK46" s="154">
        <f t="shared" si="144"/>
        <v>74200</v>
      </c>
      <c r="AL46" s="578">
        <f t="shared" si="144"/>
        <v>278889</v>
      </c>
      <c r="AM46" s="154">
        <f t="shared" si="144"/>
        <v>75343</v>
      </c>
      <c r="AN46" s="154">
        <f t="shared" si="144"/>
        <v>78929</v>
      </c>
      <c r="AO46" s="469">
        <f t="shared" si="144"/>
        <v>82671</v>
      </c>
      <c r="AP46" s="154">
        <f t="shared" si="144"/>
        <v>84664</v>
      </c>
      <c r="AQ46" s="578">
        <f t="shared" si="144"/>
        <v>321607</v>
      </c>
      <c r="AR46" s="154">
        <f t="shared" si="144"/>
        <v>86263</v>
      </c>
      <c r="AS46" s="154">
        <f t="shared" si="144"/>
        <v>88830</v>
      </c>
      <c r="AT46" s="154">
        <f t="shared" si="144"/>
        <v>93069</v>
      </c>
      <c r="AU46" s="154">
        <f t="shared" si="144"/>
        <v>94801</v>
      </c>
      <c r="AV46" s="688">
        <f t="shared" si="144"/>
        <v>362963</v>
      </c>
      <c r="AW46" s="154">
        <f t="shared" ref="AW46" si="145">SUM(AW43:AW44)</f>
        <v>96756</v>
      </c>
      <c r="AX46" s="154">
        <f t="shared" si="144"/>
        <v>99702</v>
      </c>
      <c r="AY46" s="154">
        <f t="shared" si="144"/>
        <v>104934</v>
      </c>
      <c r="AZ46" s="154">
        <f>IS!AZ9</f>
        <v>109780</v>
      </c>
      <c r="BA46" s="688">
        <f t="shared" si="144"/>
        <v>411172</v>
      </c>
      <c r="BB46" s="154">
        <f t="shared" ref="BB46:BF46" si="146">SUM(BB43:BB44)</f>
        <v>113420</v>
      </c>
      <c r="BC46" s="154">
        <f t="shared" si="146"/>
        <v>119893</v>
      </c>
      <c r="BD46" s="154">
        <f t="shared" si="146"/>
        <v>125561</v>
      </c>
      <c r="BE46" s="154">
        <f t="shared" si="146"/>
        <v>130848.99999999997</v>
      </c>
      <c r="BF46" s="578">
        <f t="shared" si="146"/>
        <v>489723</v>
      </c>
      <c r="BG46" s="154">
        <f>IS!BG9</f>
        <v>130683</v>
      </c>
      <c r="BH46" s="154">
        <f>IS!BH9</f>
        <v>137209</v>
      </c>
      <c r="BI46" s="154">
        <f t="shared" ref="BI46:BK46" si="147">SUM(BI43:BI44)</f>
        <v>141996</v>
      </c>
      <c r="BJ46" s="154">
        <f t="shared" si="147"/>
        <v>144570</v>
      </c>
      <c r="BK46" s="578">
        <f t="shared" si="147"/>
        <v>554458</v>
      </c>
      <c r="BL46" s="154">
        <f t="shared" ref="BL46:BP46" si="148">SUM(BL43:BL44)</f>
        <v>145805</v>
      </c>
      <c r="BM46" s="154">
        <f t="shared" si="148"/>
        <v>148708</v>
      </c>
      <c r="BN46" s="154">
        <f t="shared" si="148"/>
        <v>153867</v>
      </c>
      <c r="BO46" s="154">
        <f t="shared" si="148"/>
        <v>159191</v>
      </c>
      <c r="BP46" s="578">
        <f t="shared" si="148"/>
        <v>607571</v>
      </c>
      <c r="BQ46" s="154">
        <f t="shared" ref="BQ46:BU46" si="149">SUM(BQ43:BQ44)</f>
        <v>159899</v>
      </c>
      <c r="BR46" s="154">
        <f t="shared" si="149"/>
        <v>164062</v>
      </c>
      <c r="BS46" s="154">
        <f t="shared" ref="BS46" si="150">SUM(BS43:BS44)</f>
        <v>169882</v>
      </c>
      <c r="BT46" s="154">
        <f t="shared" si="149"/>
        <v>0</v>
      </c>
      <c r="BU46" s="578">
        <f t="shared" si="149"/>
        <v>493843</v>
      </c>
      <c r="BV46" s="154">
        <f t="shared" ref="BV46:BZ46" si="151">SUM(BV43:BV44)</f>
        <v>0</v>
      </c>
      <c r="BW46" s="154">
        <f t="shared" si="151"/>
        <v>0</v>
      </c>
      <c r="BX46" s="154">
        <f t="shared" si="151"/>
        <v>0</v>
      </c>
      <c r="BY46" s="154">
        <f t="shared" si="151"/>
        <v>0</v>
      </c>
      <c r="BZ46" s="578">
        <f t="shared" si="151"/>
        <v>0</v>
      </c>
    </row>
    <row r="47" spans="2:78" s="150" customFormat="1" ht="13.15">
      <c r="B47" s="151"/>
      <c r="C47" s="152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577"/>
      <c r="S47" s="153"/>
      <c r="T47" s="157"/>
      <c r="U47" s="157"/>
      <c r="V47" s="157"/>
      <c r="W47" s="579"/>
      <c r="X47" s="153"/>
      <c r="Y47" s="157"/>
      <c r="Z47" s="157"/>
      <c r="AA47" s="157"/>
      <c r="AB47" s="579"/>
      <c r="AC47" s="153"/>
      <c r="AD47" s="157"/>
      <c r="AE47" s="157"/>
      <c r="AF47" s="157"/>
      <c r="AG47" s="579"/>
      <c r="AH47" s="153"/>
      <c r="AI47" s="157"/>
      <c r="AJ47" s="157"/>
      <c r="AK47" s="157"/>
      <c r="AL47" s="579"/>
      <c r="AM47" s="153"/>
      <c r="AN47" s="157"/>
      <c r="AO47" s="157"/>
      <c r="AP47" s="157"/>
      <c r="AQ47" s="579"/>
      <c r="AR47" s="153"/>
      <c r="AS47" s="157"/>
      <c r="AT47" s="157"/>
      <c r="AU47" s="157"/>
      <c r="AV47" s="689"/>
      <c r="AW47" s="153"/>
      <c r="AX47" s="157"/>
      <c r="AY47" s="157"/>
      <c r="AZ47" s="157"/>
      <c r="BA47" s="579"/>
      <c r="BB47" s="153"/>
      <c r="BC47" s="157"/>
      <c r="BD47" s="157"/>
      <c r="BE47" s="157"/>
      <c r="BF47" s="579"/>
      <c r="BG47" s="153"/>
      <c r="BH47" s="157"/>
      <c r="BI47" s="157"/>
      <c r="BJ47" s="157"/>
      <c r="BK47" s="579"/>
      <c r="BL47" s="153"/>
      <c r="BM47" s="157"/>
      <c r="BN47" s="157"/>
      <c r="BO47" s="157"/>
      <c r="BP47" s="579"/>
      <c r="BQ47" s="153"/>
      <c r="BR47" s="157"/>
      <c r="BS47" s="157"/>
      <c r="BT47" s="157"/>
      <c r="BU47" s="579"/>
      <c r="BV47" s="153"/>
      <c r="BW47" s="157"/>
      <c r="BX47" s="157"/>
      <c r="BY47" s="157"/>
      <c r="BZ47" s="579"/>
    </row>
    <row r="48" spans="2:78" s="150" customFormat="1" ht="13.15">
      <c r="B48" s="150" t="s">
        <v>132</v>
      </c>
      <c r="C48" s="152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580"/>
      <c r="S48" s="158"/>
      <c r="T48" s="158"/>
      <c r="U48" s="158"/>
      <c r="V48" s="158"/>
      <c r="W48" s="580"/>
      <c r="X48" s="158"/>
      <c r="Y48" s="158"/>
      <c r="Z48" s="158"/>
      <c r="AA48" s="158"/>
      <c r="AB48" s="580"/>
      <c r="AC48" s="158"/>
      <c r="AD48" s="158"/>
      <c r="AE48" s="158"/>
      <c r="AF48" s="158"/>
      <c r="AG48" s="580"/>
      <c r="AH48" s="158"/>
      <c r="AI48" s="158"/>
      <c r="AJ48" s="158"/>
      <c r="AK48" s="158"/>
      <c r="AL48" s="580"/>
      <c r="AM48" s="158"/>
      <c r="AN48" s="158"/>
      <c r="AO48" s="158"/>
      <c r="AP48" s="158"/>
      <c r="AQ48" s="580"/>
      <c r="AR48" s="158"/>
      <c r="AS48" s="158"/>
      <c r="AT48" s="158"/>
      <c r="AU48" s="158"/>
      <c r="AV48" s="580"/>
      <c r="AW48" s="158"/>
      <c r="AX48" s="158"/>
      <c r="AY48" s="158"/>
      <c r="AZ48" s="158"/>
      <c r="BA48" s="580"/>
      <c r="BB48" s="158"/>
      <c r="BC48" s="158"/>
      <c r="BD48" s="158"/>
      <c r="BE48" s="158"/>
      <c r="BF48" s="580"/>
      <c r="BG48" s="158"/>
      <c r="BH48" s="158"/>
      <c r="BI48" s="158"/>
      <c r="BJ48" s="158"/>
      <c r="BK48" s="580"/>
      <c r="BL48" s="158"/>
      <c r="BM48" s="158"/>
      <c r="BN48" s="158"/>
      <c r="BO48" s="158"/>
      <c r="BP48" s="580"/>
      <c r="BQ48" s="158"/>
      <c r="BR48" s="158"/>
      <c r="BS48" s="158"/>
      <c r="BT48" s="158"/>
      <c r="BU48" s="580"/>
      <c r="BV48" s="158"/>
      <c r="BW48" s="158"/>
      <c r="BX48" s="158"/>
      <c r="BY48" s="158"/>
      <c r="BZ48" s="580"/>
    </row>
    <row r="49" spans="2:78" s="150" customFormat="1" ht="13.15">
      <c r="B49" s="151" t="s">
        <v>341</v>
      </c>
      <c r="C49" s="159"/>
      <c r="D49" s="158">
        <f t="shared" ref="D49:AI49" si="152">+D43/D69</f>
        <v>0</v>
      </c>
      <c r="E49" s="158">
        <f t="shared" si="152"/>
        <v>0</v>
      </c>
      <c r="F49" s="158">
        <f t="shared" si="152"/>
        <v>0</v>
      </c>
      <c r="G49" s="158">
        <f t="shared" si="152"/>
        <v>0</v>
      </c>
      <c r="H49" s="158">
        <f t="shared" si="152"/>
        <v>0</v>
      </c>
      <c r="I49" s="158">
        <f t="shared" si="152"/>
        <v>0</v>
      </c>
      <c r="J49" s="158">
        <f t="shared" si="152"/>
        <v>0</v>
      </c>
      <c r="K49" s="158">
        <f t="shared" si="152"/>
        <v>0</v>
      </c>
      <c r="L49" s="158">
        <f t="shared" si="152"/>
        <v>0</v>
      </c>
      <c r="M49" s="158">
        <f t="shared" si="152"/>
        <v>0</v>
      </c>
      <c r="N49" s="158">
        <f t="shared" si="152"/>
        <v>0</v>
      </c>
      <c r="O49" s="158">
        <f t="shared" si="152"/>
        <v>0</v>
      </c>
      <c r="P49" s="158">
        <f t="shared" si="152"/>
        <v>0</v>
      </c>
      <c r="Q49" s="158">
        <f t="shared" si="152"/>
        <v>0</v>
      </c>
      <c r="R49" s="580">
        <f t="shared" si="152"/>
        <v>0</v>
      </c>
      <c r="S49" s="158">
        <f t="shared" si="152"/>
        <v>0</v>
      </c>
      <c r="T49" s="158">
        <f t="shared" si="152"/>
        <v>0</v>
      </c>
      <c r="U49" s="158">
        <f t="shared" si="152"/>
        <v>0</v>
      </c>
      <c r="V49" s="158">
        <f t="shared" si="152"/>
        <v>0</v>
      </c>
      <c r="W49" s="580">
        <f t="shared" si="152"/>
        <v>0</v>
      </c>
      <c r="X49" s="158">
        <f t="shared" si="152"/>
        <v>0</v>
      </c>
      <c r="Y49" s="158">
        <f t="shared" si="152"/>
        <v>0</v>
      </c>
      <c r="Z49" s="158">
        <f t="shared" si="152"/>
        <v>0</v>
      </c>
      <c r="AA49" s="158">
        <f t="shared" si="152"/>
        <v>0</v>
      </c>
      <c r="AB49" s="580">
        <f t="shared" si="152"/>
        <v>0</v>
      </c>
      <c r="AC49" s="158">
        <f t="shared" si="152"/>
        <v>0.58383690066075566</v>
      </c>
      <c r="AD49" s="158">
        <f t="shared" si="152"/>
        <v>0.59099128422118552</v>
      </c>
      <c r="AE49" s="158">
        <f t="shared" si="152"/>
        <v>0.52065893427466803</v>
      </c>
      <c r="AF49" s="158">
        <f t="shared" si="152"/>
        <v>0.71792100452992136</v>
      </c>
      <c r="AG49" s="580">
        <f t="shared" si="152"/>
        <v>0.60581471918484764</v>
      </c>
      <c r="AH49" s="158">
        <f t="shared" si="152"/>
        <v>0.59665834335213785</v>
      </c>
      <c r="AI49" s="158">
        <f t="shared" si="152"/>
        <v>0.5178642172758352</v>
      </c>
      <c r="AJ49" s="158">
        <f t="shared" ref="AJ49:BA49" si="153">+AJ43/AJ69</f>
        <v>0.50852661252058384</v>
      </c>
      <c r="AK49" s="158">
        <f t="shared" si="153"/>
        <v>0.72291105121293797</v>
      </c>
      <c r="AL49" s="580">
        <f t="shared" si="153"/>
        <v>0.58834876958216353</v>
      </c>
      <c r="AM49" s="158">
        <f t="shared" si="153"/>
        <v>0.57124085847391259</v>
      </c>
      <c r="AN49" s="158">
        <f t="shared" si="153"/>
        <v>0.5786466317829948</v>
      </c>
      <c r="AO49" s="158">
        <f t="shared" si="153"/>
        <v>0.5805784374206191</v>
      </c>
      <c r="AP49" s="158">
        <f t="shared" si="153"/>
        <v>0.583742795048663</v>
      </c>
      <c r="AQ49" s="580">
        <f t="shared" si="153"/>
        <v>0.5787498406440158</v>
      </c>
      <c r="AR49" s="158">
        <f t="shared" si="153"/>
        <v>0.57968074377195322</v>
      </c>
      <c r="AS49" s="158">
        <f t="shared" si="153"/>
        <v>0.58319261510750875</v>
      </c>
      <c r="AT49" s="158">
        <f t="shared" si="153"/>
        <v>0.58903609150200387</v>
      </c>
      <c r="AU49" s="158">
        <f t="shared" si="153"/>
        <v>0.58717735044988972</v>
      </c>
      <c r="AV49" s="580">
        <f t="shared" si="153"/>
        <v>0.58489708317376699</v>
      </c>
      <c r="AW49" s="158">
        <f t="shared" si="153"/>
        <v>0.59894993592128654</v>
      </c>
      <c r="AX49" s="158">
        <f t="shared" si="153"/>
        <v>0.58957693927905153</v>
      </c>
      <c r="AY49" s="158">
        <f t="shared" si="153"/>
        <v>0.58659728972496994</v>
      </c>
      <c r="AZ49" s="158">
        <f t="shared" si="153"/>
        <v>0.56941155037347424</v>
      </c>
      <c r="BA49" s="580">
        <f t="shared" si="153"/>
        <v>0.58563812710982266</v>
      </c>
      <c r="BB49" s="158">
        <f t="shared" ref="BB49:BE49" si="154">+BB43/BB69</f>
        <v>0.58589314053958741</v>
      </c>
      <c r="BC49" s="158">
        <f t="shared" si="154"/>
        <v>0.58532191203823414</v>
      </c>
      <c r="BD49" s="158">
        <f>+BD43/BD69</f>
        <v>0.58326231871361334</v>
      </c>
      <c r="BE49" s="158">
        <f t="shared" si="154"/>
        <v>0.56688503542250968</v>
      </c>
      <c r="BF49" s="580">
        <v>0.57999999999999996</v>
      </c>
      <c r="BG49" s="158">
        <f t="shared" ref="BG49:BK49" si="155">+BG43/BG69</f>
        <v>0.57461949909322563</v>
      </c>
      <c r="BH49" s="158">
        <f t="shared" si="155"/>
        <v>0.57443753689626775</v>
      </c>
      <c r="BI49" s="158">
        <f t="shared" si="155"/>
        <v>0.56691033550240855</v>
      </c>
      <c r="BJ49" s="158">
        <f t="shared" si="155"/>
        <v>0.55736321505153208</v>
      </c>
      <c r="BK49" s="580">
        <f t="shared" si="155"/>
        <v>0.56810073982159148</v>
      </c>
      <c r="BL49" s="158">
        <f t="shared" ref="BL49:BO49" si="156">+BL43/BL69</f>
        <v>0.5495421967696581</v>
      </c>
      <c r="BM49" s="158">
        <f t="shared" si="156"/>
        <v>0.54000457271969227</v>
      </c>
      <c r="BN49" s="158">
        <f t="shared" si="156"/>
        <v>0.53056210883425292</v>
      </c>
      <c r="BO49" s="158">
        <f t="shared" si="156"/>
        <v>0.52350000000000008</v>
      </c>
      <c r="BP49" s="580">
        <v>0.54</v>
      </c>
      <c r="BQ49" s="158">
        <f t="shared" ref="BQ49:BT49" si="157">+BQ43/BQ69</f>
        <v>0.51112264617039505</v>
      </c>
      <c r="BR49" s="158">
        <f t="shared" si="157"/>
        <v>0.51111165291170413</v>
      </c>
      <c r="BS49" s="158">
        <f t="shared" si="157"/>
        <v>0.5045973087201705</v>
      </c>
      <c r="BT49" s="158">
        <f t="shared" si="157"/>
        <v>0</v>
      </c>
      <c r="BU49" s="580">
        <v>0.54</v>
      </c>
      <c r="BV49" s="158">
        <f t="shared" ref="BV49:BY49" si="158">+BV43/BV69</f>
        <v>0</v>
      </c>
      <c r="BW49" s="158">
        <f t="shared" si="158"/>
        <v>0</v>
      </c>
      <c r="BX49" s="158">
        <f t="shared" si="158"/>
        <v>0</v>
      </c>
      <c r="BY49" s="158">
        <f t="shared" si="158"/>
        <v>0</v>
      </c>
      <c r="BZ49" s="580">
        <v>0.54</v>
      </c>
    </row>
    <row r="50" spans="2:78" s="150" customFormat="1" ht="13.15">
      <c r="B50" s="151" t="s">
        <v>342</v>
      </c>
      <c r="C50" s="159"/>
      <c r="D50" s="158">
        <f t="shared" ref="D50:AI50" si="159">+D44/D69</f>
        <v>0</v>
      </c>
      <c r="E50" s="158">
        <f t="shared" si="159"/>
        <v>0</v>
      </c>
      <c r="F50" s="158">
        <f t="shared" si="159"/>
        <v>0</v>
      </c>
      <c r="G50" s="158">
        <f t="shared" si="159"/>
        <v>0</v>
      </c>
      <c r="H50" s="158">
        <f t="shared" si="159"/>
        <v>0</v>
      </c>
      <c r="I50" s="158">
        <f t="shared" si="159"/>
        <v>0</v>
      </c>
      <c r="J50" s="158">
        <f t="shared" si="159"/>
        <v>0</v>
      </c>
      <c r="K50" s="158">
        <f t="shared" si="159"/>
        <v>0</v>
      </c>
      <c r="L50" s="158">
        <f t="shared" si="159"/>
        <v>0</v>
      </c>
      <c r="M50" s="158">
        <f t="shared" si="159"/>
        <v>0</v>
      </c>
      <c r="N50" s="158">
        <f t="shared" si="159"/>
        <v>0</v>
      </c>
      <c r="O50" s="158">
        <f t="shared" si="159"/>
        <v>0</v>
      </c>
      <c r="P50" s="158">
        <f t="shared" si="159"/>
        <v>0</v>
      </c>
      <c r="Q50" s="158">
        <f t="shared" si="159"/>
        <v>0</v>
      </c>
      <c r="R50" s="580">
        <f t="shared" si="159"/>
        <v>0</v>
      </c>
      <c r="S50" s="158">
        <f t="shared" si="159"/>
        <v>0</v>
      </c>
      <c r="T50" s="158">
        <f t="shared" si="159"/>
        <v>0</v>
      </c>
      <c r="U50" s="158">
        <f t="shared" si="159"/>
        <v>0</v>
      </c>
      <c r="V50" s="158">
        <f t="shared" si="159"/>
        <v>0</v>
      </c>
      <c r="W50" s="580">
        <f t="shared" si="159"/>
        <v>0</v>
      </c>
      <c r="X50" s="158">
        <f t="shared" si="159"/>
        <v>0</v>
      </c>
      <c r="Y50" s="158">
        <f t="shared" si="159"/>
        <v>0</v>
      </c>
      <c r="Z50" s="158">
        <f t="shared" si="159"/>
        <v>0</v>
      </c>
      <c r="AA50" s="158">
        <f t="shared" si="159"/>
        <v>0</v>
      </c>
      <c r="AB50" s="580">
        <f t="shared" si="159"/>
        <v>0</v>
      </c>
      <c r="AC50" s="158">
        <f t="shared" si="159"/>
        <v>0.41616309933924439</v>
      </c>
      <c r="AD50" s="158">
        <f t="shared" si="159"/>
        <v>0.40900871577881454</v>
      </c>
      <c r="AE50" s="158">
        <f t="shared" si="159"/>
        <v>0.47934106572533197</v>
      </c>
      <c r="AF50" s="158">
        <f t="shared" si="159"/>
        <v>0.2820789954700787</v>
      </c>
      <c r="AG50" s="580">
        <f t="shared" si="159"/>
        <v>0.39418528081515242</v>
      </c>
      <c r="AH50" s="158">
        <f t="shared" si="159"/>
        <v>0.40334165664786215</v>
      </c>
      <c r="AI50" s="158">
        <f t="shared" si="159"/>
        <v>0.48213578272416474</v>
      </c>
      <c r="AJ50" s="158">
        <f t="shared" ref="AJ50:BA50" si="160">+AJ44/AJ69</f>
        <v>0.4914733874794161</v>
      </c>
      <c r="AK50" s="158">
        <f t="shared" si="160"/>
        <v>0.27708894878706197</v>
      </c>
      <c r="AL50" s="580">
        <f t="shared" si="160"/>
        <v>0.41165123041783647</v>
      </c>
      <c r="AM50" s="158">
        <f t="shared" si="160"/>
        <v>0.42875914152608735</v>
      </c>
      <c r="AN50" s="158">
        <f t="shared" si="160"/>
        <v>0.42135336821700514</v>
      </c>
      <c r="AO50" s="158">
        <f t="shared" si="160"/>
        <v>0.4194215625793809</v>
      </c>
      <c r="AP50" s="158">
        <f t="shared" si="160"/>
        <v>0.41625720495133706</v>
      </c>
      <c r="AQ50" s="580">
        <f t="shared" si="160"/>
        <v>0.42125015935598414</v>
      </c>
      <c r="AR50" s="158">
        <f t="shared" si="160"/>
        <v>0.42031925622804678</v>
      </c>
      <c r="AS50" s="158">
        <f t="shared" si="160"/>
        <v>0.41680738489249125</v>
      </c>
      <c r="AT50" s="158">
        <f t="shared" si="160"/>
        <v>0.41096390849799613</v>
      </c>
      <c r="AU50" s="158">
        <f t="shared" si="160"/>
        <v>0.41282264955011022</v>
      </c>
      <c r="AV50" s="580">
        <f t="shared" si="160"/>
        <v>0.41510291682623296</v>
      </c>
      <c r="AW50" s="158">
        <f t="shared" si="160"/>
        <v>0.40105006407871346</v>
      </c>
      <c r="AX50" s="158">
        <f t="shared" si="160"/>
        <v>0.41042306072094842</v>
      </c>
      <c r="AY50" s="158">
        <f t="shared" si="160"/>
        <v>0.41340271027503001</v>
      </c>
      <c r="AZ50" s="158">
        <f t="shared" si="160"/>
        <v>0.43058844962652576</v>
      </c>
      <c r="BA50" s="580">
        <f t="shared" si="160"/>
        <v>0.41436187289017734</v>
      </c>
      <c r="BB50" s="158">
        <f t="shared" ref="BB50:BE50" si="161">+BB44/BB69</f>
        <v>0.41410685946041265</v>
      </c>
      <c r="BC50" s="158">
        <f t="shared" si="161"/>
        <v>0.41467808796176592</v>
      </c>
      <c r="BD50" s="158">
        <f t="shared" si="161"/>
        <v>0.41673768128638672</v>
      </c>
      <c r="BE50" s="158">
        <f t="shared" si="161"/>
        <v>0.4331149645774901</v>
      </c>
      <c r="BF50" s="580">
        <v>0.42</v>
      </c>
      <c r="BG50" s="158">
        <f t="shared" ref="BG50:BK50" si="162">+BG44/BG69</f>
        <v>0.42538050090677443</v>
      </c>
      <c r="BH50" s="158">
        <f t="shared" si="162"/>
        <v>0.42556246310373225</v>
      </c>
      <c r="BI50" s="158">
        <f t="shared" si="162"/>
        <v>0.43308966449759151</v>
      </c>
      <c r="BJ50" s="158">
        <f t="shared" si="162"/>
        <v>0.44263678494846787</v>
      </c>
      <c r="BK50" s="580">
        <f t="shared" si="162"/>
        <v>0.43189926017840846</v>
      </c>
      <c r="BL50" s="158">
        <f t="shared" ref="BL50:BN50" si="163">+BL44/BL69</f>
        <v>0.4504578032303419</v>
      </c>
      <c r="BM50" s="158">
        <f t="shared" si="163"/>
        <v>0.45999542728030773</v>
      </c>
      <c r="BN50" s="158">
        <f t="shared" si="163"/>
        <v>0.46943789116574702</v>
      </c>
      <c r="BO50" s="158">
        <v>0.47649999999999998</v>
      </c>
      <c r="BP50" s="580">
        <v>0.46</v>
      </c>
      <c r="BQ50" s="158">
        <f t="shared" ref="BQ50:BS50" si="164">+BQ44/BQ69</f>
        <v>0.48887735382960495</v>
      </c>
      <c r="BR50" s="158">
        <f t="shared" si="164"/>
        <v>0.48888834708829587</v>
      </c>
      <c r="BS50" s="158">
        <f t="shared" si="164"/>
        <v>0.49540269127982955</v>
      </c>
      <c r="BT50" s="158">
        <v>0.47649999999999998</v>
      </c>
      <c r="BU50" s="580">
        <v>0.46</v>
      </c>
      <c r="BV50" s="158">
        <f t="shared" ref="BV50:BX50" si="165">+BV44/BV69</f>
        <v>0</v>
      </c>
      <c r="BW50" s="158">
        <f t="shared" si="165"/>
        <v>0</v>
      </c>
      <c r="BX50" s="158">
        <f t="shared" si="165"/>
        <v>0</v>
      </c>
      <c r="BY50" s="158">
        <v>0.47649999999999998</v>
      </c>
      <c r="BZ50" s="580">
        <v>0.46</v>
      </c>
    </row>
    <row r="51" spans="2:78" s="150" customFormat="1" ht="8.25" customHeight="1">
      <c r="B51" s="155"/>
      <c r="C51" s="160"/>
      <c r="D51" s="272" t="s">
        <v>131</v>
      </c>
      <c r="E51" s="272" t="s">
        <v>131</v>
      </c>
      <c r="F51" s="272" t="s">
        <v>131</v>
      </c>
      <c r="G51" s="272" t="s">
        <v>131</v>
      </c>
      <c r="H51" s="272" t="s">
        <v>131</v>
      </c>
      <c r="I51" s="272" t="s">
        <v>131</v>
      </c>
      <c r="J51" s="272" t="s">
        <v>131</v>
      </c>
      <c r="K51" s="272" t="s">
        <v>131</v>
      </c>
      <c r="L51" s="272" t="s">
        <v>131</v>
      </c>
      <c r="M51" s="272" t="s">
        <v>131</v>
      </c>
      <c r="N51" s="272" t="s">
        <v>131</v>
      </c>
      <c r="O51" s="272" t="s">
        <v>131</v>
      </c>
      <c r="P51" s="272" t="s">
        <v>131</v>
      </c>
      <c r="Q51" s="272" t="s">
        <v>131</v>
      </c>
      <c r="R51" s="581" t="s">
        <v>131</v>
      </c>
      <c r="S51" s="272" t="s">
        <v>131</v>
      </c>
      <c r="T51" s="272" t="s">
        <v>131</v>
      </c>
      <c r="U51" s="272" t="s">
        <v>131</v>
      </c>
      <c r="V51" s="272" t="s">
        <v>131</v>
      </c>
      <c r="W51" s="581" t="s">
        <v>131</v>
      </c>
      <c r="X51" s="272" t="s">
        <v>131</v>
      </c>
      <c r="Y51" s="272" t="s">
        <v>131</v>
      </c>
      <c r="Z51" s="272" t="s">
        <v>131</v>
      </c>
      <c r="AA51" s="272" t="s">
        <v>131</v>
      </c>
      <c r="AB51" s="581" t="s">
        <v>131</v>
      </c>
      <c r="AC51" s="272" t="s">
        <v>131</v>
      </c>
      <c r="AD51" s="272" t="s">
        <v>131</v>
      </c>
      <c r="AE51" s="272" t="s">
        <v>131</v>
      </c>
      <c r="AF51" s="272" t="s">
        <v>131</v>
      </c>
      <c r="AG51" s="581" t="s">
        <v>131</v>
      </c>
      <c r="AH51" s="272" t="s">
        <v>131</v>
      </c>
      <c r="AI51" s="272" t="s">
        <v>131</v>
      </c>
      <c r="AJ51" s="272" t="s">
        <v>131</v>
      </c>
      <c r="AK51" s="272" t="s">
        <v>131</v>
      </c>
      <c r="AL51" s="581" t="s">
        <v>131</v>
      </c>
      <c r="AM51" s="272" t="s">
        <v>131</v>
      </c>
      <c r="AN51" s="272" t="s">
        <v>131</v>
      </c>
      <c r="AO51" s="272" t="s">
        <v>131</v>
      </c>
      <c r="AP51" s="272" t="s">
        <v>131</v>
      </c>
      <c r="AQ51" s="581" t="s">
        <v>131</v>
      </c>
      <c r="AR51" s="272" t="s">
        <v>131</v>
      </c>
      <c r="AS51" s="272" t="s">
        <v>131</v>
      </c>
      <c r="AT51" s="272" t="s">
        <v>131</v>
      </c>
      <c r="AU51" s="272" t="s">
        <v>131</v>
      </c>
      <c r="AV51" s="581" t="s">
        <v>131</v>
      </c>
      <c r="AW51" s="272" t="s">
        <v>131</v>
      </c>
      <c r="AX51" s="272" t="s">
        <v>131</v>
      </c>
      <c r="AY51" s="272" t="s">
        <v>131</v>
      </c>
      <c r="AZ51" s="272" t="s">
        <v>131</v>
      </c>
      <c r="BA51" s="581" t="s">
        <v>131</v>
      </c>
      <c r="BB51" s="272" t="s">
        <v>131</v>
      </c>
      <c r="BC51" s="272" t="s">
        <v>131</v>
      </c>
      <c r="BD51" s="272" t="s">
        <v>131</v>
      </c>
      <c r="BE51" s="272" t="s">
        <v>131</v>
      </c>
      <c r="BF51" s="581" t="s">
        <v>131</v>
      </c>
      <c r="BG51" s="272" t="s">
        <v>131</v>
      </c>
      <c r="BH51" s="272" t="s">
        <v>131</v>
      </c>
      <c r="BI51" s="272" t="s">
        <v>131</v>
      </c>
      <c r="BJ51" s="272" t="s">
        <v>131</v>
      </c>
      <c r="BK51" s="581" t="s">
        <v>131</v>
      </c>
      <c r="BL51" s="272" t="s">
        <v>131</v>
      </c>
      <c r="BM51" s="272" t="s">
        <v>131</v>
      </c>
      <c r="BN51" s="272" t="s">
        <v>131</v>
      </c>
      <c r="BO51" s="272" t="s">
        <v>131</v>
      </c>
      <c r="BP51" s="581" t="s">
        <v>131</v>
      </c>
      <c r="BQ51" s="272" t="s">
        <v>131</v>
      </c>
      <c r="BR51" s="272" t="s">
        <v>131</v>
      </c>
      <c r="BS51" s="272" t="s">
        <v>131</v>
      </c>
      <c r="BT51" s="272" t="s">
        <v>131</v>
      </c>
      <c r="BU51" s="581" t="s">
        <v>131</v>
      </c>
      <c r="BV51" s="272" t="s">
        <v>131</v>
      </c>
      <c r="BW51" s="272" t="s">
        <v>131</v>
      </c>
      <c r="BX51" s="272" t="s">
        <v>131</v>
      </c>
      <c r="BY51" s="272" t="s">
        <v>131</v>
      </c>
      <c r="BZ51" s="581" t="s">
        <v>131</v>
      </c>
    </row>
    <row r="52" spans="2:78" s="150" customFormat="1">
      <c r="B52" s="150" t="s">
        <v>130</v>
      </c>
      <c r="C52" s="159"/>
      <c r="D52" s="158">
        <f t="shared" ref="D52:AI52" si="166">+D49+D50</f>
        <v>0</v>
      </c>
      <c r="E52" s="158">
        <f t="shared" si="166"/>
        <v>0</v>
      </c>
      <c r="F52" s="158">
        <f t="shared" si="166"/>
        <v>0</v>
      </c>
      <c r="G52" s="158">
        <f t="shared" si="166"/>
        <v>0</v>
      </c>
      <c r="H52" s="158">
        <f t="shared" si="166"/>
        <v>0</v>
      </c>
      <c r="I52" s="158">
        <f t="shared" si="166"/>
        <v>0</v>
      </c>
      <c r="J52" s="158">
        <f t="shared" si="166"/>
        <v>0</v>
      </c>
      <c r="K52" s="158">
        <f t="shared" si="166"/>
        <v>0</v>
      </c>
      <c r="L52" s="158">
        <f t="shared" si="166"/>
        <v>0</v>
      </c>
      <c r="M52" s="158">
        <f t="shared" si="166"/>
        <v>0</v>
      </c>
      <c r="N52" s="158">
        <f t="shared" si="166"/>
        <v>0</v>
      </c>
      <c r="O52" s="158">
        <f t="shared" si="166"/>
        <v>0</v>
      </c>
      <c r="P52" s="158">
        <f t="shared" si="166"/>
        <v>0</v>
      </c>
      <c r="Q52" s="158">
        <f t="shared" si="166"/>
        <v>0</v>
      </c>
      <c r="R52" s="580">
        <f t="shared" si="166"/>
        <v>0</v>
      </c>
      <c r="S52" s="158">
        <f t="shared" si="166"/>
        <v>0</v>
      </c>
      <c r="T52" s="158">
        <f t="shared" si="166"/>
        <v>0</v>
      </c>
      <c r="U52" s="158">
        <f t="shared" si="166"/>
        <v>0</v>
      </c>
      <c r="V52" s="158">
        <f t="shared" si="166"/>
        <v>0</v>
      </c>
      <c r="W52" s="580">
        <f t="shared" si="166"/>
        <v>0</v>
      </c>
      <c r="X52" s="158">
        <f t="shared" si="166"/>
        <v>0</v>
      </c>
      <c r="Y52" s="158">
        <f t="shared" si="166"/>
        <v>0</v>
      </c>
      <c r="Z52" s="158">
        <f t="shared" si="166"/>
        <v>0</v>
      </c>
      <c r="AA52" s="158">
        <f t="shared" si="166"/>
        <v>0</v>
      </c>
      <c r="AB52" s="580">
        <f t="shared" si="166"/>
        <v>0</v>
      </c>
      <c r="AC52" s="158">
        <f t="shared" si="166"/>
        <v>1</v>
      </c>
      <c r="AD52" s="158">
        <f t="shared" si="166"/>
        <v>1</v>
      </c>
      <c r="AE52" s="158">
        <f t="shared" si="166"/>
        <v>1</v>
      </c>
      <c r="AF52" s="158">
        <f t="shared" si="166"/>
        <v>1</v>
      </c>
      <c r="AG52" s="580">
        <f t="shared" si="166"/>
        <v>1</v>
      </c>
      <c r="AH52" s="158">
        <f t="shared" si="166"/>
        <v>1</v>
      </c>
      <c r="AI52" s="158">
        <f t="shared" si="166"/>
        <v>1</v>
      </c>
      <c r="AJ52" s="158">
        <f t="shared" ref="AJ52:BA52" si="167">+AJ49+AJ50</f>
        <v>1</v>
      </c>
      <c r="AK52" s="158">
        <f t="shared" si="167"/>
        <v>1</v>
      </c>
      <c r="AL52" s="580">
        <f t="shared" si="167"/>
        <v>1</v>
      </c>
      <c r="AM52" s="158">
        <f t="shared" si="167"/>
        <v>1</v>
      </c>
      <c r="AN52" s="158">
        <f t="shared" si="167"/>
        <v>1</v>
      </c>
      <c r="AO52" s="158">
        <f t="shared" si="167"/>
        <v>1</v>
      </c>
      <c r="AP52" s="158">
        <f t="shared" si="167"/>
        <v>1</v>
      </c>
      <c r="AQ52" s="580">
        <f t="shared" si="167"/>
        <v>1</v>
      </c>
      <c r="AR52" s="158">
        <f t="shared" si="167"/>
        <v>1</v>
      </c>
      <c r="AS52" s="158">
        <f t="shared" si="167"/>
        <v>1</v>
      </c>
      <c r="AT52" s="158">
        <f t="shared" si="167"/>
        <v>1</v>
      </c>
      <c r="AU52" s="158">
        <f t="shared" si="167"/>
        <v>1</v>
      </c>
      <c r="AV52" s="580">
        <f t="shared" si="167"/>
        <v>1</v>
      </c>
      <c r="AW52" s="158">
        <f t="shared" si="167"/>
        <v>1</v>
      </c>
      <c r="AX52" s="158">
        <f t="shared" si="167"/>
        <v>1</v>
      </c>
      <c r="AY52" s="158">
        <f t="shared" si="167"/>
        <v>1</v>
      </c>
      <c r="AZ52" s="158">
        <f t="shared" si="167"/>
        <v>1</v>
      </c>
      <c r="BA52" s="580">
        <f t="shared" si="167"/>
        <v>1</v>
      </c>
      <c r="BB52" s="158">
        <f t="shared" ref="BB52:BF52" si="168">+BB49+BB50</f>
        <v>1</v>
      </c>
      <c r="BC52" s="158">
        <f t="shared" si="168"/>
        <v>1</v>
      </c>
      <c r="BD52" s="158">
        <f t="shared" si="168"/>
        <v>1</v>
      </c>
      <c r="BE52" s="158">
        <f t="shared" si="168"/>
        <v>0.99999999999999978</v>
      </c>
      <c r="BF52" s="580">
        <f t="shared" si="168"/>
        <v>1</v>
      </c>
      <c r="BG52" s="158">
        <f t="shared" ref="BG52:BK52" si="169">+BG49+BG50</f>
        <v>1</v>
      </c>
      <c r="BH52" s="158">
        <f t="shared" si="169"/>
        <v>1</v>
      </c>
      <c r="BI52" s="158">
        <f t="shared" si="169"/>
        <v>1</v>
      </c>
      <c r="BJ52" s="158">
        <f t="shared" si="169"/>
        <v>1</v>
      </c>
      <c r="BK52" s="580">
        <f t="shared" si="169"/>
        <v>1</v>
      </c>
      <c r="BL52" s="158">
        <f t="shared" ref="BL52:BP52" si="170">+BL49+BL50</f>
        <v>1</v>
      </c>
      <c r="BM52" s="158">
        <f t="shared" si="170"/>
        <v>1</v>
      </c>
      <c r="BN52" s="158">
        <f t="shared" si="170"/>
        <v>1</v>
      </c>
      <c r="BO52" s="158">
        <f t="shared" si="170"/>
        <v>1</v>
      </c>
      <c r="BP52" s="580">
        <f t="shared" si="170"/>
        <v>1</v>
      </c>
      <c r="BQ52" s="158">
        <f t="shared" ref="BQ52:BU52" si="171">+BQ49+BQ50</f>
        <v>1</v>
      </c>
      <c r="BR52" s="158">
        <f t="shared" si="171"/>
        <v>1</v>
      </c>
      <c r="BS52" s="158">
        <f t="shared" si="171"/>
        <v>1</v>
      </c>
      <c r="BT52" s="158">
        <f t="shared" si="171"/>
        <v>0.47649999999999998</v>
      </c>
      <c r="BU52" s="580">
        <f t="shared" si="171"/>
        <v>1</v>
      </c>
      <c r="BV52" s="158">
        <f t="shared" ref="BV52:BZ52" si="172">+BV49+BV50</f>
        <v>0</v>
      </c>
      <c r="BW52" s="158">
        <f t="shared" si="172"/>
        <v>0</v>
      </c>
      <c r="BX52" s="158">
        <f t="shared" si="172"/>
        <v>0</v>
      </c>
      <c r="BY52" s="158">
        <f t="shared" si="172"/>
        <v>0.47649999999999998</v>
      </c>
      <c r="BZ52" s="580">
        <f t="shared" si="172"/>
        <v>1</v>
      </c>
    </row>
    <row r="53" spans="2:78" s="150" customFormat="1">
      <c r="C53" s="159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580"/>
      <c r="S53" s="158"/>
      <c r="T53" s="158"/>
      <c r="U53" s="158"/>
      <c r="V53" s="158"/>
      <c r="W53" s="580"/>
      <c r="X53" s="158"/>
      <c r="Y53" s="158"/>
      <c r="Z53" s="158"/>
      <c r="AA53" s="158"/>
      <c r="AB53" s="580"/>
      <c r="AC53" s="158"/>
      <c r="AD53" s="158"/>
      <c r="AE53" s="158"/>
      <c r="AF53" s="158"/>
      <c r="AG53" s="580"/>
      <c r="AH53" s="158"/>
      <c r="AI53" s="158"/>
      <c r="AJ53" s="158"/>
      <c r="AK53" s="158"/>
      <c r="AL53" s="580"/>
      <c r="AM53" s="158"/>
      <c r="AN53" s="158"/>
      <c r="AO53" s="158"/>
      <c r="AP53" s="158"/>
      <c r="AQ53" s="580"/>
      <c r="AR53" s="158"/>
      <c r="AS53" s="158"/>
      <c r="AT53" s="158"/>
      <c r="AU53" s="158"/>
      <c r="AV53" s="580"/>
      <c r="AW53" s="158"/>
      <c r="AX53" s="158"/>
      <c r="AY53" s="158"/>
      <c r="AZ53" s="158"/>
      <c r="BA53" s="580"/>
      <c r="BB53" s="158"/>
      <c r="BC53" s="158"/>
      <c r="BD53" s="158"/>
      <c r="BE53" s="158"/>
      <c r="BF53" s="580"/>
      <c r="BG53" s="158"/>
      <c r="BH53" s="158"/>
      <c r="BI53" s="158"/>
      <c r="BJ53" s="158"/>
      <c r="BK53" s="580"/>
      <c r="BL53" s="158"/>
      <c r="BM53" s="158"/>
      <c r="BN53" s="158"/>
      <c r="BO53" s="158"/>
      <c r="BP53" s="580"/>
      <c r="BQ53" s="158"/>
      <c r="BR53" s="158"/>
      <c r="BS53" s="158"/>
      <c r="BT53" s="158"/>
      <c r="BU53" s="580"/>
      <c r="BV53" s="158"/>
      <c r="BW53" s="158"/>
      <c r="BX53" s="158"/>
      <c r="BY53" s="158"/>
      <c r="BZ53" s="580"/>
    </row>
    <row r="54" spans="2:78" s="150" customFormat="1">
      <c r="B54" s="150" t="s">
        <v>133</v>
      </c>
      <c r="C54" s="159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580"/>
      <c r="S54" s="158"/>
      <c r="T54" s="158"/>
      <c r="U54" s="158"/>
      <c r="V54" s="158"/>
      <c r="W54" s="580"/>
      <c r="X54" s="158"/>
      <c r="Y54" s="158"/>
      <c r="Z54" s="158"/>
      <c r="AA54" s="158"/>
      <c r="AB54" s="580"/>
      <c r="AC54" s="158"/>
      <c r="AD54" s="158"/>
      <c r="AE54" s="158"/>
      <c r="AF54" s="158"/>
      <c r="AG54" s="580"/>
      <c r="AH54" s="158"/>
      <c r="AI54" s="158"/>
      <c r="AJ54" s="158"/>
      <c r="AK54" s="158"/>
      <c r="AL54" s="580"/>
      <c r="AM54" s="158"/>
      <c r="AN54" s="158"/>
      <c r="AO54" s="158"/>
      <c r="AP54" s="158"/>
      <c r="AQ54" s="580"/>
      <c r="AR54" s="158"/>
      <c r="AS54" s="158"/>
      <c r="AT54" s="158"/>
      <c r="AU54" s="158"/>
      <c r="AV54" s="580"/>
      <c r="AW54" s="158"/>
      <c r="AX54" s="158"/>
      <c r="AY54" s="158"/>
      <c r="AZ54" s="158"/>
      <c r="BA54" s="580"/>
      <c r="BB54" s="158"/>
      <c r="BC54" s="158"/>
      <c r="BD54" s="158"/>
      <c r="BE54" s="158"/>
      <c r="BF54" s="580"/>
      <c r="BG54" s="158"/>
      <c r="BH54" s="158"/>
      <c r="BI54" s="158"/>
      <c r="BJ54" s="158"/>
      <c r="BK54" s="580"/>
      <c r="BL54" s="158"/>
      <c r="BM54" s="158"/>
      <c r="BN54" s="158"/>
      <c r="BO54" s="158"/>
      <c r="BP54" s="580"/>
      <c r="BQ54" s="158"/>
      <c r="BR54" s="158"/>
      <c r="BS54" s="158"/>
      <c r="BT54" s="158"/>
      <c r="BU54" s="580"/>
      <c r="BV54" s="158"/>
      <c r="BW54" s="158"/>
      <c r="BX54" s="158"/>
      <c r="BY54" s="158"/>
      <c r="BZ54" s="580"/>
    </row>
    <row r="55" spans="2:78" s="150" customFormat="1" ht="13.15">
      <c r="B55" s="151" t="s">
        <v>341</v>
      </c>
      <c r="C55" s="159"/>
      <c r="D55" s="158"/>
      <c r="E55" s="158" t="e">
        <f t="shared" ref="E55:G56" si="173">+E43/D43-1</f>
        <v>#DIV/0!</v>
      </c>
      <c r="F55" s="158" t="e">
        <f t="shared" si="173"/>
        <v>#DIV/0!</v>
      </c>
      <c r="G55" s="158" t="e">
        <f t="shared" si="173"/>
        <v>#DIV/0!</v>
      </c>
      <c r="H55" s="158"/>
      <c r="I55" s="158" t="e">
        <f>+I43/G43-1</f>
        <v>#DIV/0!</v>
      </c>
      <c r="J55" s="158" t="e">
        <f t="shared" ref="J55:L56" si="174">+J43/I43-1</f>
        <v>#DIV/0!</v>
      </c>
      <c r="K55" s="158" t="e">
        <f t="shared" si="174"/>
        <v>#DIV/0!</v>
      </c>
      <c r="L55" s="158" t="e">
        <f t="shared" si="174"/>
        <v>#DIV/0!</v>
      </c>
      <c r="M55" s="158"/>
      <c r="N55" s="158" t="e">
        <f>+N43/L43-1</f>
        <v>#DIV/0!</v>
      </c>
      <c r="O55" s="158" t="e">
        <f t="shared" ref="O55:Q56" si="175">+O43/N43-1</f>
        <v>#DIV/0!</v>
      </c>
      <c r="P55" s="158" t="e">
        <f t="shared" si="175"/>
        <v>#DIV/0!</v>
      </c>
      <c r="Q55" s="158" t="e">
        <f t="shared" si="175"/>
        <v>#DIV/0!</v>
      </c>
      <c r="R55" s="580"/>
      <c r="S55" s="158" t="e">
        <f>+S43/Q43-1</f>
        <v>#DIV/0!</v>
      </c>
      <c r="T55" s="158" t="e">
        <f t="shared" ref="T55:V56" si="176">+T43/S43-1</f>
        <v>#DIV/0!</v>
      </c>
      <c r="U55" s="158" t="e">
        <f t="shared" si="176"/>
        <v>#DIV/0!</v>
      </c>
      <c r="V55" s="158" t="e">
        <f t="shared" si="176"/>
        <v>#DIV/0!</v>
      </c>
      <c r="W55" s="580"/>
      <c r="X55" s="158" t="e">
        <f>+X43/V43-1</f>
        <v>#DIV/0!</v>
      </c>
      <c r="Y55" s="158" t="e">
        <f t="shared" ref="Y55:AA56" si="177">+Y43/X43-1</f>
        <v>#DIV/0!</v>
      </c>
      <c r="Z55" s="158" t="e">
        <f t="shared" si="177"/>
        <v>#DIV/0!</v>
      </c>
      <c r="AA55" s="158" t="e">
        <f t="shared" si="177"/>
        <v>#DIV/0!</v>
      </c>
      <c r="AB55" s="580"/>
      <c r="AC55" s="158" t="e">
        <f>+AC43/AA43-1</f>
        <v>#DIV/0!</v>
      </c>
      <c r="AD55" s="158">
        <f t="shared" ref="AD55:AF56" si="178">+AD43/AC43-1</f>
        <v>5.3814406397110881E-2</v>
      </c>
      <c r="AE55" s="158">
        <f t="shared" si="178"/>
        <v>-5.229018143989228E-2</v>
      </c>
      <c r="AF55" s="158">
        <f t="shared" si="178"/>
        <v>0.45825531090592109</v>
      </c>
      <c r="AG55" s="580"/>
      <c r="AH55" s="158">
        <f>+AH43/AF43-1</f>
        <v>-0.14297732908253635</v>
      </c>
      <c r="AI55" s="158">
        <f t="shared" ref="AI55:AK56" si="179">+AI43/AH43-1</f>
        <v>-8.8245931283906009E-2</v>
      </c>
      <c r="AJ55" s="158">
        <f t="shared" si="179"/>
        <v>3.2470108233694006E-2</v>
      </c>
      <c r="AK55" s="158">
        <f t="shared" si="179"/>
        <v>0.47200878155872661</v>
      </c>
      <c r="AL55" s="580"/>
      <c r="AM55" s="158">
        <f>+AM43/AK43-1</f>
        <v>-0.19763236390753169</v>
      </c>
      <c r="AN55" s="158">
        <f t="shared" ref="AN55:AP56" si="180">+AN43/AM43-1</f>
        <v>6.1177071957991602E-2</v>
      </c>
      <c r="AO55" s="158">
        <f t="shared" si="180"/>
        <v>5.0906463478717745E-2</v>
      </c>
      <c r="AP55" s="158">
        <f t="shared" si="180"/>
        <v>2.9689355584723964E-2</v>
      </c>
      <c r="AQ55" s="580"/>
      <c r="AR55" s="158">
        <f>+AR43/AP43-1</f>
        <v>1.1796365990854207E-2</v>
      </c>
      <c r="AS55" s="158">
        <f t="shared" ref="AS55:AU56" si="181">+AS43/AR43-1</f>
        <v>3.5996400359963987E-2</v>
      </c>
      <c r="AT55" s="158">
        <f t="shared" si="181"/>
        <v>5.821831869510663E-2</v>
      </c>
      <c r="AU55" s="158">
        <f t="shared" si="181"/>
        <v>1.5395560095583738E-2</v>
      </c>
      <c r="AV55" s="580"/>
      <c r="AW55" s="158">
        <f>+AW43/AU43-1</f>
        <v>4.1085062427018704E-2</v>
      </c>
      <c r="AX55" s="158">
        <f t="shared" ref="AX55:AZ56" si="182">+AX43/AW43-1</f>
        <v>1.4322197680839421E-2</v>
      </c>
      <c r="AY55" s="158">
        <f t="shared" si="182"/>
        <v>4.7157293048892601E-2</v>
      </c>
      <c r="AZ55" s="158">
        <f t="shared" si="182"/>
        <v>1.5531078402703402E-2</v>
      </c>
      <c r="BA55" s="580"/>
      <c r="BB55" s="158">
        <f>+BB43/AZ43-1</f>
        <v>6.3061910094384999E-2</v>
      </c>
      <c r="BC55" s="158">
        <f t="shared" ref="BC55:BC56" si="183">+BC43/BB43-1</f>
        <v>5.6040450249804419E-2</v>
      </c>
      <c r="BD55" s="158">
        <f t="shared" ref="BD55:BD56" si="184">+BD43/BC43-1</f>
        <v>4.3590401276789814E-2</v>
      </c>
      <c r="BE55" s="158">
        <f t="shared" ref="BE55:BE56" si="185">+BE43/BD43-1</f>
        <v>1.2853690175462118E-2</v>
      </c>
      <c r="BF55" s="580"/>
      <c r="BG55" s="158">
        <f>+BG43/BE43-1</f>
        <v>1.2357848877418753E-2</v>
      </c>
      <c r="BH55" s="158">
        <f t="shared" ref="BH55:BH56" si="186">+BH43/BG43-1</f>
        <v>4.9605156272888307E-2</v>
      </c>
      <c r="BI55" s="158">
        <f t="shared" ref="BI55:BI56" si="187">+BI43/BH43-1</f>
        <v>2.1327615519297627E-2</v>
      </c>
      <c r="BJ55" s="158">
        <f t="shared" ref="BJ55:BJ56" si="188">+BJ43/BI43-1</f>
        <v>9.8137865066649788E-4</v>
      </c>
      <c r="BK55" s="580"/>
      <c r="BL55" s="158">
        <f>+BL43/BJ43-1</f>
        <v>-5.6094715679217977E-3</v>
      </c>
      <c r="BM55" s="158">
        <f t="shared" ref="BM55:BM56" si="189">+BM43/BL43-1</f>
        <v>2.2090207922522698E-3</v>
      </c>
      <c r="BN55" s="158">
        <f t="shared" ref="BN55:BN56" si="190">+BN43/BM43-1</f>
        <v>1.6599628905520358E-2</v>
      </c>
      <c r="BO55" s="158">
        <f t="shared" ref="BO55:BO56" si="191">+BO43/BN43-1</f>
        <v>2.0830130089666499E-2</v>
      </c>
      <c r="BP55" s="580"/>
      <c r="BQ55" s="158">
        <f>+BQ43/BO43-1</f>
        <v>-1.9301131220569756E-2</v>
      </c>
      <c r="BR55" s="158">
        <f t="shared" ref="BR55:BR56" si="192">+BR43/BQ43-1</f>
        <v>2.6013116679718173E-2</v>
      </c>
      <c r="BS55" s="158">
        <f t="shared" ref="BS55:BS56" si="193">+BS43/BR43-1</f>
        <v>2.2276814463233707E-2</v>
      </c>
      <c r="BT55" s="158">
        <f t="shared" ref="BT55:BT56" si="194">+BT43/BS43-1</f>
        <v>-1</v>
      </c>
      <c r="BU55" s="580"/>
      <c r="BV55" s="158" t="e">
        <f>+BV43/BT43-1</f>
        <v>#DIV/0!</v>
      </c>
      <c r="BW55" s="158" t="e">
        <f t="shared" ref="BW55:BW56" si="195">+BW43/BV43-1</f>
        <v>#DIV/0!</v>
      </c>
      <c r="BX55" s="158" t="e">
        <f t="shared" ref="BX55:BX56" si="196">+BX43/BW43-1</f>
        <v>#DIV/0!</v>
      </c>
      <c r="BY55" s="158" t="e">
        <f t="shared" ref="BY55:BY56" si="197">+BY43/BX43-1</f>
        <v>#DIV/0!</v>
      </c>
      <c r="BZ55" s="580"/>
    </row>
    <row r="56" spans="2:78" s="150" customFormat="1" ht="13.15">
      <c r="B56" s="151" t="s">
        <v>342</v>
      </c>
      <c r="C56" s="159"/>
      <c r="D56" s="158"/>
      <c r="E56" s="158" t="e">
        <f t="shared" si="173"/>
        <v>#DIV/0!</v>
      </c>
      <c r="F56" s="158" t="e">
        <f t="shared" si="173"/>
        <v>#DIV/0!</v>
      </c>
      <c r="G56" s="158" t="e">
        <f t="shared" si="173"/>
        <v>#DIV/0!</v>
      </c>
      <c r="H56" s="158"/>
      <c r="I56" s="158" t="e">
        <f>+I44/G44-1</f>
        <v>#DIV/0!</v>
      </c>
      <c r="J56" s="158" t="e">
        <f t="shared" si="174"/>
        <v>#DIV/0!</v>
      </c>
      <c r="K56" s="158" t="e">
        <f t="shared" si="174"/>
        <v>#DIV/0!</v>
      </c>
      <c r="L56" s="158" t="e">
        <f t="shared" si="174"/>
        <v>#DIV/0!</v>
      </c>
      <c r="M56" s="158"/>
      <c r="N56" s="158" t="e">
        <f>+N44/L44-1</f>
        <v>#DIV/0!</v>
      </c>
      <c r="O56" s="158" t="e">
        <f t="shared" si="175"/>
        <v>#DIV/0!</v>
      </c>
      <c r="P56" s="158" t="e">
        <f t="shared" si="175"/>
        <v>#DIV/0!</v>
      </c>
      <c r="Q56" s="158" t="e">
        <f t="shared" si="175"/>
        <v>#DIV/0!</v>
      </c>
      <c r="R56" s="580"/>
      <c r="S56" s="158" t="e">
        <f>+S44/Q44-1</f>
        <v>#DIV/0!</v>
      </c>
      <c r="T56" s="158" t="e">
        <f t="shared" si="176"/>
        <v>#DIV/0!</v>
      </c>
      <c r="U56" s="158" t="e">
        <f t="shared" si="176"/>
        <v>#DIV/0!</v>
      </c>
      <c r="V56" s="158" t="e">
        <f t="shared" si="176"/>
        <v>#DIV/0!</v>
      </c>
      <c r="W56" s="580"/>
      <c r="X56" s="158" t="e">
        <f>+X44/V44-1</f>
        <v>#DIV/0!</v>
      </c>
      <c r="Y56" s="158" t="e">
        <f t="shared" si="177"/>
        <v>#DIV/0!</v>
      </c>
      <c r="Z56" s="158" t="e">
        <f t="shared" si="177"/>
        <v>#DIV/0!</v>
      </c>
      <c r="AA56" s="158" t="e">
        <f t="shared" si="177"/>
        <v>#DIV/0!</v>
      </c>
      <c r="AB56" s="580"/>
      <c r="AC56" s="158" t="e">
        <f>+AC44/AA44-1</f>
        <v>#DIV/0!</v>
      </c>
      <c r="AD56" s="158">
        <f t="shared" si="178"/>
        <v>2.3160085040937251E-2</v>
      </c>
      <c r="AE56" s="158">
        <f t="shared" si="178"/>
        <v>0.26071002254741593</v>
      </c>
      <c r="AF56" s="158">
        <f t="shared" si="178"/>
        <v>-0.37764763641464438</v>
      </c>
      <c r="AG56" s="580"/>
      <c r="AH56" s="158">
        <f>+AH44/AF44-1</f>
        <v>0.47450273285625744</v>
      </c>
      <c r="AI56" s="158">
        <f t="shared" si="179"/>
        <v>0.25569397737694888</v>
      </c>
      <c r="AJ56" s="158">
        <f t="shared" si="179"/>
        <v>7.1791594388143309E-2</v>
      </c>
      <c r="AK56" s="158">
        <f t="shared" si="179"/>
        <v>-0.41620762110284515</v>
      </c>
      <c r="AL56" s="580"/>
      <c r="AM56" s="158">
        <f>+AM44/AK44-1</f>
        <v>0.57120622568093382</v>
      </c>
      <c r="AN56" s="158">
        <f t="shared" si="180"/>
        <v>2.9500990589400589E-2</v>
      </c>
      <c r="AO56" s="158">
        <f t="shared" si="180"/>
        <v>4.2607571338364902E-2</v>
      </c>
      <c r="AP56" s="158">
        <f t="shared" si="180"/>
        <v>1.6381150141316247E-2</v>
      </c>
      <c r="AQ56" s="580"/>
      <c r="AR56" s="158">
        <f>+AR44/AP44-1</f>
        <v>2.8829237841212274E-2</v>
      </c>
      <c r="AS56" s="158">
        <f t="shared" si="181"/>
        <v>2.1153952231231621E-2</v>
      </c>
      <c r="AT56" s="158">
        <f t="shared" si="181"/>
        <v>3.3031735313977073E-2</v>
      </c>
      <c r="AU56" s="158">
        <f t="shared" si="181"/>
        <v>2.3216900230077497E-2</v>
      </c>
      <c r="AV56" s="580"/>
      <c r="AW56" s="158">
        <f>+AW44/AU44-1</f>
        <v>-8.4832379394930157E-3</v>
      </c>
      <c r="AX56" s="158">
        <f t="shared" si="182"/>
        <v>5.4530460777239442E-2</v>
      </c>
      <c r="AY56" s="158">
        <f t="shared" si="182"/>
        <v>6.011730205278587E-2</v>
      </c>
      <c r="AZ56" s="158">
        <f t="shared" si="182"/>
        <v>8.9672660212079203E-2</v>
      </c>
      <c r="BA56" s="580"/>
      <c r="BB56" s="158">
        <f>+BB44/AZ44-1</f>
        <v>-6.3888301248149482E-3</v>
      </c>
      <c r="BC56" s="158">
        <f t="shared" si="183"/>
        <v>5.8529211377959411E-2</v>
      </c>
      <c r="BD56" s="158">
        <f t="shared" si="184"/>
        <v>5.2477019932819724E-2</v>
      </c>
      <c r="BE56" s="158">
        <f t="shared" si="185"/>
        <v>8.3068837671520956E-2</v>
      </c>
      <c r="BF56" s="580"/>
      <c r="BG56" s="158">
        <f>+BG44/BE44-1</f>
        <v>-1.910374420399541E-2</v>
      </c>
      <c r="BH56" s="158">
        <f t="shared" si="186"/>
        <v>5.0386760208670722E-2</v>
      </c>
      <c r="BI56" s="158">
        <f t="shared" si="187"/>
        <v>5.3193129078111356E-2</v>
      </c>
      <c r="BJ56" s="158">
        <f t="shared" si="188"/>
        <v>4.0571084768362686E-2</v>
      </c>
      <c r="BK56" s="580"/>
      <c r="BL56" s="158">
        <f>+BL44/BJ44-1</f>
        <v>2.6362670333791804E-2</v>
      </c>
      <c r="BM56" s="158">
        <f t="shared" si="189"/>
        <v>4.1504895019717214E-2</v>
      </c>
      <c r="BN56" s="158">
        <f t="shared" si="190"/>
        <v>5.5931583948541697E-2</v>
      </c>
      <c r="BO56" s="158">
        <f t="shared" si="191"/>
        <v>5.0165600642383401E-2</v>
      </c>
      <c r="BP56" s="580"/>
      <c r="BQ56" s="158">
        <f>+BQ44/BO44-1</f>
        <v>3.0538572514569706E-2</v>
      </c>
      <c r="BR56" s="158">
        <f t="shared" si="192"/>
        <v>2.6058256898338295E-2</v>
      </c>
      <c r="BS56" s="158">
        <f t="shared" si="193"/>
        <v>4.9271893077997175E-2</v>
      </c>
      <c r="BT56" s="158">
        <f t="shared" si="194"/>
        <v>-1</v>
      </c>
      <c r="BU56" s="580"/>
      <c r="BV56" s="158" t="e">
        <f>+BV44/BT44-1</f>
        <v>#DIV/0!</v>
      </c>
      <c r="BW56" s="158" t="e">
        <f t="shared" si="195"/>
        <v>#DIV/0!</v>
      </c>
      <c r="BX56" s="158" t="e">
        <f t="shared" si="196"/>
        <v>#DIV/0!</v>
      </c>
      <c r="BY56" s="158" t="e">
        <f t="shared" si="197"/>
        <v>#DIV/0!</v>
      </c>
      <c r="BZ56" s="580"/>
    </row>
    <row r="57" spans="2:78" s="150" customFormat="1" ht="6" customHeight="1">
      <c r="B57" s="155"/>
      <c r="C57" s="159"/>
      <c r="D57" s="272"/>
      <c r="E57" s="272" t="s">
        <v>131</v>
      </c>
      <c r="F57" s="272" t="s">
        <v>131</v>
      </c>
      <c r="G57" s="272" t="s">
        <v>131</v>
      </c>
      <c r="H57" s="158"/>
      <c r="I57" s="272" t="s">
        <v>131</v>
      </c>
      <c r="J57" s="272" t="s">
        <v>131</v>
      </c>
      <c r="K57" s="272" t="s">
        <v>131</v>
      </c>
      <c r="L57" s="272" t="s">
        <v>131</v>
      </c>
      <c r="M57" s="158"/>
      <c r="N57" s="272" t="s">
        <v>131</v>
      </c>
      <c r="O57" s="272" t="s">
        <v>131</v>
      </c>
      <c r="P57" s="272" t="s">
        <v>131</v>
      </c>
      <c r="Q57" s="272" t="s">
        <v>131</v>
      </c>
      <c r="R57" s="580"/>
      <c r="S57" s="272" t="s">
        <v>131</v>
      </c>
      <c r="T57" s="272" t="s">
        <v>131</v>
      </c>
      <c r="U57" s="272" t="s">
        <v>131</v>
      </c>
      <c r="V57" s="272" t="s">
        <v>131</v>
      </c>
      <c r="W57" s="580"/>
      <c r="X57" s="272" t="s">
        <v>131</v>
      </c>
      <c r="Y57" s="272" t="s">
        <v>131</v>
      </c>
      <c r="Z57" s="272" t="s">
        <v>131</v>
      </c>
      <c r="AA57" s="272" t="s">
        <v>131</v>
      </c>
      <c r="AB57" s="580"/>
      <c r="AC57" s="272" t="s">
        <v>131</v>
      </c>
      <c r="AD57" s="272" t="s">
        <v>131</v>
      </c>
      <c r="AE57" s="272" t="s">
        <v>131</v>
      </c>
      <c r="AF57" s="272" t="s">
        <v>131</v>
      </c>
      <c r="AG57" s="580"/>
      <c r="AH57" s="272" t="s">
        <v>131</v>
      </c>
      <c r="AI57" s="272" t="s">
        <v>131</v>
      </c>
      <c r="AJ57" s="272" t="s">
        <v>131</v>
      </c>
      <c r="AK57" s="272" t="s">
        <v>131</v>
      </c>
      <c r="AL57" s="580"/>
      <c r="AM57" s="272" t="s">
        <v>131</v>
      </c>
      <c r="AN57" s="272" t="s">
        <v>131</v>
      </c>
      <c r="AO57" s="272" t="s">
        <v>131</v>
      </c>
      <c r="AP57" s="272" t="s">
        <v>131</v>
      </c>
      <c r="AQ57" s="580"/>
      <c r="AR57" s="272" t="s">
        <v>131</v>
      </c>
      <c r="AS57" s="272" t="s">
        <v>131</v>
      </c>
      <c r="AT57" s="272" t="s">
        <v>131</v>
      </c>
      <c r="AU57" s="272" t="s">
        <v>131</v>
      </c>
      <c r="AV57" s="580"/>
      <c r="AW57" s="272" t="s">
        <v>131</v>
      </c>
      <c r="AX57" s="272" t="s">
        <v>131</v>
      </c>
      <c r="AY57" s="272" t="s">
        <v>131</v>
      </c>
      <c r="AZ57" s="272" t="s">
        <v>131</v>
      </c>
      <c r="BA57" s="580"/>
      <c r="BB57" s="272" t="s">
        <v>131</v>
      </c>
      <c r="BC57" s="272" t="s">
        <v>131</v>
      </c>
      <c r="BD57" s="272" t="s">
        <v>131</v>
      </c>
      <c r="BE57" s="272" t="s">
        <v>131</v>
      </c>
      <c r="BF57" s="580"/>
      <c r="BG57" s="272" t="s">
        <v>131</v>
      </c>
      <c r="BH57" s="272" t="s">
        <v>131</v>
      </c>
      <c r="BI57" s="272" t="s">
        <v>131</v>
      </c>
      <c r="BJ57" s="272" t="s">
        <v>131</v>
      </c>
      <c r="BK57" s="580"/>
      <c r="BL57" s="272" t="s">
        <v>131</v>
      </c>
      <c r="BM57" s="272" t="s">
        <v>131</v>
      </c>
      <c r="BN57" s="272" t="s">
        <v>131</v>
      </c>
      <c r="BO57" s="272" t="s">
        <v>131</v>
      </c>
      <c r="BP57" s="580"/>
      <c r="BQ57" s="272" t="s">
        <v>131</v>
      </c>
      <c r="BR57" s="272" t="s">
        <v>131</v>
      </c>
      <c r="BS57" s="272" t="s">
        <v>131</v>
      </c>
      <c r="BT57" s="272" t="s">
        <v>131</v>
      </c>
      <c r="BU57" s="580"/>
      <c r="BV57" s="272" t="s">
        <v>131</v>
      </c>
      <c r="BW57" s="272" t="s">
        <v>131</v>
      </c>
      <c r="BX57" s="272" t="s">
        <v>131</v>
      </c>
      <c r="BY57" s="272" t="s">
        <v>131</v>
      </c>
      <c r="BZ57" s="580"/>
    </row>
    <row r="58" spans="2:78" s="150" customFormat="1">
      <c r="B58" s="150" t="s">
        <v>130</v>
      </c>
      <c r="C58" s="159"/>
      <c r="D58" s="158"/>
      <c r="E58" s="158" t="e">
        <f>+E46/D46-1</f>
        <v>#DIV/0!</v>
      </c>
      <c r="F58" s="158" t="e">
        <f>+F46/E46-1</f>
        <v>#DIV/0!</v>
      </c>
      <c r="G58" s="158" t="e">
        <f>+G46/F46-1</f>
        <v>#DIV/0!</v>
      </c>
      <c r="H58" s="158"/>
      <c r="I58" s="158" t="e">
        <f>+I46/G46-1</f>
        <v>#DIV/0!</v>
      </c>
      <c r="J58" s="158" t="e">
        <f>+J46/I46-1</f>
        <v>#DIV/0!</v>
      </c>
      <c r="K58" s="158" t="e">
        <f>+K46/J46-1</f>
        <v>#DIV/0!</v>
      </c>
      <c r="L58" s="158" t="e">
        <f>+L46/K46-1</f>
        <v>#DIV/0!</v>
      </c>
      <c r="M58" s="158"/>
      <c r="N58" s="158" t="e">
        <f>+N46/L46-1</f>
        <v>#DIV/0!</v>
      </c>
      <c r="O58" s="158" t="e">
        <f>+O46/N46-1</f>
        <v>#DIV/0!</v>
      </c>
      <c r="P58" s="158" t="e">
        <f>+P46/O46-1</f>
        <v>#DIV/0!</v>
      </c>
      <c r="Q58" s="158" t="e">
        <f>+Q46/P46-1</f>
        <v>#DIV/0!</v>
      </c>
      <c r="R58" s="580"/>
      <c r="S58" s="158" t="e">
        <f>+S46/Q46-1</f>
        <v>#DIV/0!</v>
      </c>
      <c r="T58" s="158" t="e">
        <f>+T46/S46-1</f>
        <v>#DIV/0!</v>
      </c>
      <c r="U58" s="158" t="e">
        <f>+U46/T46-1</f>
        <v>#DIV/0!</v>
      </c>
      <c r="V58" s="158" t="e">
        <f>+V46/U46-1</f>
        <v>#DIV/0!</v>
      </c>
      <c r="W58" s="580"/>
      <c r="X58" s="158" t="e">
        <f>+X46/V46-1</f>
        <v>#DIV/0!</v>
      </c>
      <c r="Y58" s="158" t="e">
        <f>+Y46/X46-1</f>
        <v>#DIV/0!</v>
      </c>
      <c r="Z58" s="158" t="e">
        <f>+Z46/Y46-1</f>
        <v>#DIV/0!</v>
      </c>
      <c r="AA58" s="158" t="e">
        <f>+AA46/Z46-1</f>
        <v>#DIV/0!</v>
      </c>
      <c r="AB58" s="580"/>
      <c r="AC58" s="158" t="e">
        <f>+AC46/AA46-1</f>
        <v>#DIV/0!</v>
      </c>
      <c r="AD58" s="158">
        <f>+AD46/AC46-1</f>
        <v>4.1057209013384499E-2</v>
      </c>
      <c r="AE58" s="158">
        <f>+AE46/AD46-1</f>
        <v>7.5729630031463602E-2</v>
      </c>
      <c r="AF58" s="158">
        <f>+AF46/AE46-1</f>
        <v>5.7572701294335227E-2</v>
      </c>
      <c r="AG58" s="580"/>
      <c r="AH58" s="158">
        <f>+AH46/AF46-1</f>
        <v>3.1200826511960544E-2</v>
      </c>
      <c r="AI58" s="158">
        <f>+AI46/AH46-1</f>
        <v>5.0479361262677713E-2</v>
      </c>
      <c r="AJ58" s="158">
        <f>+AJ46/AI46-1</f>
        <v>5.1428403738646766E-2</v>
      </c>
      <c r="AK58" s="158">
        <f>+AK46/AJ46-1</f>
        <v>3.5474057327862907E-2</v>
      </c>
      <c r="AL58" s="580"/>
      <c r="AM58" s="158">
        <f>+AM46/AK46-1</f>
        <v>1.5404312668463538E-2</v>
      </c>
      <c r="AN58" s="158">
        <f>+AN46/AM46-1</f>
        <v>4.7595662503484126E-2</v>
      </c>
      <c r="AO58" s="158">
        <f>+AO46/AN46-1</f>
        <v>4.740969732291056E-2</v>
      </c>
      <c r="AP58" s="158">
        <f>+AP46/AO46-1</f>
        <v>2.410760726252259E-2</v>
      </c>
      <c r="AQ58" s="580"/>
      <c r="AR58" s="158">
        <f>+AR46/AP46-1</f>
        <v>1.8886421619578542E-2</v>
      </c>
      <c r="AS58" s="158">
        <f>+AS46/AR46-1</f>
        <v>2.9757833601891992E-2</v>
      </c>
      <c r="AT58" s="158">
        <f>+AT46/AS46-1</f>
        <v>4.7720364741641319E-2</v>
      </c>
      <c r="AU58" s="158">
        <f>+AU46/AT46-1</f>
        <v>1.8609848606947477E-2</v>
      </c>
      <c r="AV58" s="580"/>
      <c r="AW58" s="158">
        <f>+AW46/AU46-1</f>
        <v>2.0622145336019582E-2</v>
      </c>
      <c r="AX58" s="158">
        <f>+AX46/AW46-1</f>
        <v>3.0447724172144364E-2</v>
      </c>
      <c r="AY58" s="158">
        <f>+AY46/AX46-1</f>
        <v>5.2476379611241519E-2</v>
      </c>
      <c r="AZ58" s="158">
        <f>+AZ46/AY46-1</f>
        <v>4.6181409266777163E-2</v>
      </c>
      <c r="BA58" s="580"/>
      <c r="BB58" s="158">
        <f>+BB46/AZ46-1</f>
        <v>3.3157223537985114E-2</v>
      </c>
      <c r="BC58" s="158">
        <f>+BC46/BB46-1</f>
        <v>5.7071063304531933E-2</v>
      </c>
      <c r="BD58" s="158">
        <f>+BD46/BC46-1</f>
        <v>4.7275487309517583E-2</v>
      </c>
      <c r="BE58" s="158">
        <f>+BE46/BD46-1</f>
        <v>4.211498793415136E-2</v>
      </c>
      <c r="BF58" s="580"/>
      <c r="BG58" s="158">
        <f>+BG46/BE46-1</f>
        <v>-1.2686378955893973E-3</v>
      </c>
      <c r="BH58" s="158">
        <f>+BH46/BG46-1</f>
        <v>4.9937635346602116E-2</v>
      </c>
      <c r="BI58" s="158">
        <f>+BI46/BH46-1</f>
        <v>3.4888381957451697E-2</v>
      </c>
      <c r="BJ58" s="158">
        <f>+BJ46/BI46-1</f>
        <v>1.812727119073787E-2</v>
      </c>
      <c r="BK58" s="580"/>
      <c r="BL58" s="158">
        <f>+BL46/BJ46-1</f>
        <v>8.5425745313689738E-3</v>
      </c>
      <c r="BM58" s="158">
        <f>+BM46/BL46-1</f>
        <v>1.991015397277196E-2</v>
      </c>
      <c r="BN58" s="158">
        <f>+BN46/BM46-1</f>
        <v>3.4692148371304743E-2</v>
      </c>
      <c r="BO58" s="158">
        <f>+BO46/BN46-1</f>
        <v>3.4601311522288736E-2</v>
      </c>
      <c r="BP58" s="580"/>
      <c r="BQ58" s="158">
        <f>+BQ46/BO46-1</f>
        <v>4.4474876092241988E-3</v>
      </c>
      <c r="BR58" s="158">
        <f>+BR46/BQ46-1</f>
        <v>2.603518471034838E-2</v>
      </c>
      <c r="BS58" s="158">
        <f>+BS46/BR46-1</f>
        <v>3.5474393826724127E-2</v>
      </c>
      <c r="BT58" s="158">
        <f>+BT46/BS46-1</f>
        <v>-1</v>
      </c>
      <c r="BU58" s="580"/>
      <c r="BV58" s="158" t="e">
        <f>+BV46/BT46-1</f>
        <v>#DIV/0!</v>
      </c>
      <c r="BW58" s="158" t="e">
        <f>+BW46/BV46-1</f>
        <v>#DIV/0!</v>
      </c>
      <c r="BX58" s="158" t="e">
        <f>+BX46/BW46-1</f>
        <v>#DIV/0!</v>
      </c>
      <c r="BY58" s="158" t="e">
        <f>+BY46/BX46-1</f>
        <v>#DIV/0!</v>
      </c>
      <c r="BZ58" s="580"/>
    </row>
    <row r="59" spans="2:78" s="150" customFormat="1">
      <c r="C59" s="159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580"/>
      <c r="S59" s="158"/>
      <c r="T59" s="158"/>
      <c r="U59" s="158"/>
      <c r="V59" s="158"/>
      <c r="W59" s="580"/>
      <c r="X59" s="158"/>
      <c r="Y59" s="158"/>
      <c r="Z59" s="158"/>
      <c r="AA59" s="158"/>
      <c r="AB59" s="580"/>
      <c r="AC59" s="158"/>
      <c r="AD59" s="158"/>
      <c r="AE59" s="158"/>
      <c r="AF59" s="158"/>
      <c r="AG59" s="580"/>
      <c r="AH59" s="158"/>
      <c r="AI59" s="158"/>
      <c r="AJ59" s="158"/>
      <c r="AK59" s="158"/>
      <c r="AL59" s="580"/>
      <c r="AM59" s="158"/>
      <c r="AN59" s="158"/>
      <c r="AO59" s="158"/>
      <c r="AP59" s="158"/>
      <c r="AQ59" s="580"/>
      <c r="AR59" s="158"/>
      <c r="AS59" s="158"/>
      <c r="AT59" s="158"/>
      <c r="AU59" s="158"/>
      <c r="AV59" s="580"/>
      <c r="AW59" s="158"/>
      <c r="AX59" s="158"/>
      <c r="AY59" s="158"/>
      <c r="AZ59" s="158"/>
      <c r="BA59" s="580"/>
      <c r="BB59" s="158"/>
      <c r="BC59" s="158"/>
      <c r="BD59" s="158"/>
      <c r="BE59" s="158"/>
      <c r="BF59" s="580"/>
      <c r="BG59" s="158"/>
      <c r="BH59" s="158"/>
      <c r="BI59" s="158"/>
      <c r="BJ59" s="158"/>
      <c r="BK59" s="580"/>
      <c r="BL59" s="158"/>
      <c r="BM59" s="158"/>
      <c r="BN59" s="158"/>
      <c r="BO59" s="158"/>
      <c r="BP59" s="580"/>
      <c r="BQ59" s="158"/>
      <c r="BR59" s="158"/>
      <c r="BS59" s="158"/>
      <c r="BT59" s="158"/>
      <c r="BU59" s="580"/>
      <c r="BV59" s="158"/>
      <c r="BW59" s="158"/>
      <c r="BX59" s="158"/>
      <c r="BY59" s="158"/>
      <c r="BZ59" s="580"/>
    </row>
    <row r="60" spans="2:78" s="150" customFormat="1">
      <c r="B60" s="150" t="s">
        <v>134</v>
      </c>
      <c r="C60" s="159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580"/>
      <c r="S60" s="158"/>
      <c r="T60" s="158"/>
      <c r="U60" s="158"/>
      <c r="V60" s="158"/>
      <c r="W60" s="580"/>
      <c r="X60" s="158"/>
      <c r="Y60" s="158"/>
      <c r="Z60" s="158"/>
      <c r="AA60" s="158"/>
      <c r="AB60" s="580"/>
      <c r="AC60" s="158"/>
      <c r="AD60" s="158"/>
      <c r="AE60" s="158"/>
      <c r="AF60" s="158"/>
      <c r="AG60" s="580"/>
      <c r="AH60" s="158"/>
      <c r="AI60" s="158"/>
      <c r="AJ60" s="158"/>
      <c r="AK60" s="158"/>
      <c r="AL60" s="580"/>
      <c r="AM60" s="158"/>
      <c r="AN60" s="158"/>
      <c r="AO60" s="158"/>
      <c r="AP60" s="158"/>
      <c r="AQ60" s="580"/>
      <c r="AR60" s="158"/>
      <c r="AS60" s="158"/>
      <c r="AT60" s="158"/>
      <c r="AU60" s="158"/>
      <c r="AV60" s="580"/>
      <c r="AW60" s="158"/>
      <c r="AX60" s="158"/>
      <c r="AY60" s="158"/>
      <c r="AZ60" s="158"/>
      <c r="BA60" s="580"/>
      <c r="BB60" s="158"/>
      <c r="BC60" s="158"/>
      <c r="BD60" s="158"/>
      <c r="BE60" s="158"/>
      <c r="BF60" s="580"/>
      <c r="BG60" s="158"/>
      <c r="BH60" s="158"/>
      <c r="BI60" s="158"/>
      <c r="BJ60" s="158"/>
      <c r="BK60" s="580"/>
      <c r="BL60" s="158"/>
      <c r="BM60" s="158"/>
      <c r="BN60" s="158"/>
      <c r="BO60" s="158"/>
      <c r="BP60" s="580"/>
      <c r="BQ60" s="158"/>
      <c r="BR60" s="158"/>
      <c r="BS60" s="158"/>
      <c r="BT60" s="158"/>
      <c r="BU60" s="580"/>
      <c r="BV60" s="158"/>
      <c r="BW60" s="158"/>
      <c r="BX60" s="158"/>
      <c r="BY60" s="158"/>
      <c r="BZ60" s="580"/>
    </row>
    <row r="61" spans="2:78" s="150" customFormat="1" ht="13.15">
      <c r="B61" s="151" t="s">
        <v>341</v>
      </c>
      <c r="C61" s="159"/>
      <c r="D61" s="158"/>
      <c r="E61" s="158"/>
      <c r="F61" s="158"/>
      <c r="G61" s="158"/>
      <c r="H61" s="158"/>
      <c r="I61" s="158" t="e">
        <f t="shared" ref="I61:R62" si="198">+I43/D43-1</f>
        <v>#DIV/0!</v>
      </c>
      <c r="J61" s="158" t="e">
        <f t="shared" si="198"/>
        <v>#DIV/0!</v>
      </c>
      <c r="K61" s="158" t="e">
        <f t="shared" si="198"/>
        <v>#DIV/0!</v>
      </c>
      <c r="L61" s="158" t="e">
        <f t="shared" si="198"/>
        <v>#DIV/0!</v>
      </c>
      <c r="M61" s="158" t="e">
        <f t="shared" si="198"/>
        <v>#DIV/0!</v>
      </c>
      <c r="N61" s="158" t="e">
        <f t="shared" si="198"/>
        <v>#DIV/0!</v>
      </c>
      <c r="O61" s="158" t="e">
        <f t="shared" si="198"/>
        <v>#DIV/0!</v>
      </c>
      <c r="P61" s="158" t="e">
        <f t="shared" si="198"/>
        <v>#DIV/0!</v>
      </c>
      <c r="Q61" s="158" t="e">
        <f t="shared" si="198"/>
        <v>#DIV/0!</v>
      </c>
      <c r="R61" s="580" t="e">
        <f t="shared" si="198"/>
        <v>#DIV/0!</v>
      </c>
      <c r="S61" s="158" t="e">
        <f t="shared" ref="S61:AB62" si="199">+S43/N43-1</f>
        <v>#DIV/0!</v>
      </c>
      <c r="T61" s="158" t="e">
        <f t="shared" si="199"/>
        <v>#DIV/0!</v>
      </c>
      <c r="U61" s="158" t="e">
        <f t="shared" si="199"/>
        <v>#DIV/0!</v>
      </c>
      <c r="V61" s="158" t="e">
        <f t="shared" si="199"/>
        <v>#DIV/0!</v>
      </c>
      <c r="W61" s="580" t="e">
        <f t="shared" si="199"/>
        <v>#DIV/0!</v>
      </c>
      <c r="X61" s="158" t="e">
        <f t="shared" si="199"/>
        <v>#DIV/0!</v>
      </c>
      <c r="Y61" s="158" t="e">
        <f t="shared" si="199"/>
        <v>#DIV/0!</v>
      </c>
      <c r="Z61" s="158" t="e">
        <f t="shared" si="199"/>
        <v>#DIV/0!</v>
      </c>
      <c r="AA61" s="158" t="e">
        <f t="shared" si="199"/>
        <v>#DIV/0!</v>
      </c>
      <c r="AB61" s="580" t="e">
        <f t="shared" si="199"/>
        <v>#DIV/0!</v>
      </c>
      <c r="AC61" s="158" t="e">
        <f t="shared" ref="AC61:AF62" si="200">+AC43/X43-1</f>
        <v>#DIV/0!</v>
      </c>
      <c r="AD61" s="158" t="e">
        <f t="shared" si="200"/>
        <v>#DIV/0!</v>
      </c>
      <c r="AE61" s="158" t="e">
        <f t="shared" si="200"/>
        <v>#DIV/0!</v>
      </c>
      <c r="AF61" s="158" t="e">
        <f t="shared" si="200"/>
        <v>#DIV/0!</v>
      </c>
      <c r="AG61" s="580"/>
      <c r="AH61" s="158">
        <f t="shared" ref="AH61:AQ62" si="201">+AH43/AC43-1</f>
        <v>0.24814599858128594</v>
      </c>
      <c r="AI61" s="158">
        <f t="shared" si="201"/>
        <v>7.9888627115013877E-2</v>
      </c>
      <c r="AJ61" s="158">
        <f t="shared" si="201"/>
        <v>0.17647058823529416</v>
      </c>
      <c r="AK61" s="158">
        <f t="shared" si="201"/>
        <v>0.18756641870350688</v>
      </c>
      <c r="AL61" s="580">
        <f t="shared" si="201"/>
        <v>0.17337795607806128</v>
      </c>
      <c r="AM61" s="158">
        <f t="shared" si="201"/>
        <v>0.11183156807026617</v>
      </c>
      <c r="AN61" s="158">
        <f t="shared" si="201"/>
        <v>0.29404431348104487</v>
      </c>
      <c r="AO61" s="158">
        <f t="shared" si="201"/>
        <v>0.31715148188803521</v>
      </c>
      <c r="AP61" s="158">
        <f t="shared" si="201"/>
        <v>-7.8635346756152136E-2</v>
      </c>
      <c r="AQ61" s="580">
        <f t="shared" si="201"/>
        <v>0.13435801175007933</v>
      </c>
      <c r="AR61" s="158">
        <f t="shared" ref="AR61:BA62" si="202">+AR43/AM43-1</f>
        <v>0.16185320290898941</v>
      </c>
      <c r="AS61" s="158">
        <f t="shared" si="202"/>
        <v>0.1342835873182695</v>
      </c>
      <c r="AT61" s="158">
        <f t="shared" si="202"/>
        <v>0.14217555263870651</v>
      </c>
      <c r="AU61" s="158">
        <f t="shared" si="202"/>
        <v>0.12632026223139503</v>
      </c>
      <c r="AV61" s="580">
        <f t="shared" si="202"/>
        <v>0.14057916509966151</v>
      </c>
      <c r="AW61" s="158">
        <f t="shared" si="202"/>
        <v>0.15892410758924114</v>
      </c>
      <c r="AX61" s="158">
        <f t="shared" si="202"/>
        <v>0.13467811987259926</v>
      </c>
      <c r="AY61" s="158">
        <f t="shared" si="202"/>
        <v>0.12281789825067047</v>
      </c>
      <c r="AZ61" s="158">
        <f t="shared" si="202"/>
        <v>0.12296775352555467</v>
      </c>
      <c r="BA61" s="580">
        <f t="shared" si="202"/>
        <v>0.13425594453027845</v>
      </c>
      <c r="BB61" s="158">
        <f t="shared" ref="BB61:BB62" si="203">+BB43/AW43-1</f>
        <v>0.14667310877967976</v>
      </c>
      <c r="BC61" s="158">
        <f t="shared" ref="BC61:BC62" si="204">+BC43/AX43-1</f>
        <v>0.19383484740226598</v>
      </c>
      <c r="BD61" s="158">
        <f t="shared" ref="BD61:BD62" si="205">+BD43/AY43-1</f>
        <v>0.18976833349579225</v>
      </c>
      <c r="BE61" s="158">
        <f t="shared" ref="BE61:BE62" si="206">+BE43/AZ43-1</f>
        <v>0.18663157894736782</v>
      </c>
      <c r="BF61" s="580">
        <f t="shared" ref="BF61:BF62" si="207">+BF43/BA43-1</f>
        <v>0.17957516258440664</v>
      </c>
      <c r="BG61" s="158">
        <f t="shared" ref="BG61:BG62" si="208">+BG43/BB43-1</f>
        <v>0.13003370854150353</v>
      </c>
      <c r="BH61" s="158">
        <f t="shared" ref="BH61:BH62" si="209">+BH43/BC43-1</f>
        <v>0.12314751481988151</v>
      </c>
      <c r="BI61" s="158">
        <f t="shared" ref="BI61:BI62" si="210">+BI43/BD43-1</f>
        <v>9.9187546937939519E-2</v>
      </c>
      <c r="BJ61" s="158">
        <f t="shared" ref="BJ61:BJ62" si="211">+BJ43/BE43-1</f>
        <v>8.6303260581474195E-2</v>
      </c>
      <c r="BK61" s="580">
        <f t="shared" ref="BK61:BK62" si="212">+BK43/BF43-1</f>
        <v>0.10895906179756665</v>
      </c>
      <c r="BL61" s="158">
        <f t="shared" ref="BL61:BL62" si="213">+BL43/BG43-1</f>
        <v>6.7023557455421878E-2</v>
      </c>
      <c r="BM61" s="158">
        <f t="shared" ref="BM61:BM62" si="214">+BM43/BH43-1</f>
        <v>1.8840873912050471E-2</v>
      </c>
      <c r="BN61" s="158">
        <f t="shared" ref="BN61:BN62" si="215">+BN43/BI43-1</f>
        <v>1.412439906085794E-2</v>
      </c>
      <c r="BO61" s="158">
        <f t="shared" ref="BO61:BO62" si="216">+BO43/BJ43-1</f>
        <v>3.4233767281391936E-2</v>
      </c>
      <c r="BP61" s="580">
        <f t="shared" ref="BP61:BP62" si="217">+BP43/BK43-1</f>
        <v>3.3059953077577475E-2</v>
      </c>
      <c r="BQ61" s="158">
        <f t="shared" ref="BQ61:BR62" si="218">+BQ43/BL43-1</f>
        <v>1.9993510221401278E-2</v>
      </c>
      <c r="BR61" s="158">
        <f t="shared" si="218"/>
        <v>4.4220016686798758E-2</v>
      </c>
      <c r="BS61" s="158">
        <f t="shared" ref="BS61:BS62" si="219">+BS43/BN43-1</f>
        <v>5.0051447890636425E-2</v>
      </c>
      <c r="BT61" s="158">
        <f t="shared" ref="BT61:BT62" si="220">+BT43/BO43-1</f>
        <v>-1</v>
      </c>
      <c r="BU61" s="580">
        <f t="shared" ref="BU61:BU62" si="221">+BU43/BP43-1</f>
        <v>-0.22771096973639071</v>
      </c>
      <c r="BV61" s="158">
        <f t="shared" ref="BV61:BV62" si="222">+BV43/BQ43-1</f>
        <v>-1</v>
      </c>
      <c r="BW61" s="158">
        <f t="shared" ref="BW61:BW62" si="223">+BW43/BR43-1</f>
        <v>-1</v>
      </c>
      <c r="BX61" s="158">
        <f t="shared" ref="BX61:BX62" si="224">+BX43/BS43-1</f>
        <v>-1</v>
      </c>
      <c r="BY61" s="158" t="e">
        <f t="shared" ref="BY61:BY62" si="225">+BY43/BT43-1</f>
        <v>#DIV/0!</v>
      </c>
      <c r="BZ61" s="580">
        <f t="shared" ref="BZ61:BZ62" si="226">+BZ43/BU43-1</f>
        <v>-1</v>
      </c>
    </row>
    <row r="62" spans="2:78" s="150" customFormat="1" ht="13.15">
      <c r="B62" s="151" t="s">
        <v>342</v>
      </c>
      <c r="C62" s="159"/>
      <c r="D62" s="158"/>
      <c r="E62" s="158"/>
      <c r="F62" s="158"/>
      <c r="G62" s="158"/>
      <c r="H62" s="158"/>
      <c r="I62" s="158" t="e">
        <f t="shared" si="198"/>
        <v>#DIV/0!</v>
      </c>
      <c r="J62" s="158" t="e">
        <f t="shared" si="198"/>
        <v>#DIV/0!</v>
      </c>
      <c r="K62" s="158" t="e">
        <f t="shared" si="198"/>
        <v>#DIV/0!</v>
      </c>
      <c r="L62" s="158" t="e">
        <f t="shared" si="198"/>
        <v>#DIV/0!</v>
      </c>
      <c r="M62" s="158" t="e">
        <f t="shared" si="198"/>
        <v>#DIV/0!</v>
      </c>
      <c r="N62" s="158" t="e">
        <f t="shared" si="198"/>
        <v>#DIV/0!</v>
      </c>
      <c r="O62" s="158" t="e">
        <f t="shared" si="198"/>
        <v>#DIV/0!</v>
      </c>
      <c r="P62" s="158" t="e">
        <f t="shared" si="198"/>
        <v>#DIV/0!</v>
      </c>
      <c r="Q62" s="158" t="e">
        <f t="shared" si="198"/>
        <v>#DIV/0!</v>
      </c>
      <c r="R62" s="580" t="e">
        <f t="shared" si="198"/>
        <v>#DIV/0!</v>
      </c>
      <c r="S62" s="158" t="e">
        <f t="shared" si="199"/>
        <v>#DIV/0!</v>
      </c>
      <c r="T62" s="158" t="e">
        <f t="shared" si="199"/>
        <v>#DIV/0!</v>
      </c>
      <c r="U62" s="158" t="e">
        <f t="shared" si="199"/>
        <v>#DIV/0!</v>
      </c>
      <c r="V62" s="158" t="e">
        <f t="shared" si="199"/>
        <v>#DIV/0!</v>
      </c>
      <c r="W62" s="580" t="e">
        <f t="shared" si="199"/>
        <v>#DIV/0!</v>
      </c>
      <c r="X62" s="158" t="e">
        <f t="shared" si="199"/>
        <v>#DIV/0!</v>
      </c>
      <c r="Y62" s="158" t="e">
        <f t="shared" si="199"/>
        <v>#DIV/0!</v>
      </c>
      <c r="Z62" s="158" t="e">
        <f t="shared" si="199"/>
        <v>#DIV/0!</v>
      </c>
      <c r="AA62" s="158" t="e">
        <f t="shared" si="199"/>
        <v>#DIV/0!</v>
      </c>
      <c r="AB62" s="580" t="e">
        <f t="shared" si="199"/>
        <v>#DIV/0!</v>
      </c>
      <c r="AC62" s="158" t="e">
        <f t="shared" si="200"/>
        <v>#DIV/0!</v>
      </c>
      <c r="AD62" s="158" t="e">
        <f t="shared" si="200"/>
        <v>#DIV/0!</v>
      </c>
      <c r="AE62" s="158" t="e">
        <f t="shared" si="200"/>
        <v>#DIV/0!</v>
      </c>
      <c r="AF62" s="158" t="e">
        <f t="shared" si="200"/>
        <v>#DIV/0!</v>
      </c>
      <c r="AG62" s="580"/>
      <c r="AH62" s="158">
        <f t="shared" si="201"/>
        <v>0.18369747138915282</v>
      </c>
      <c r="AI62" s="158">
        <f t="shared" si="201"/>
        <v>0.45271674256156325</v>
      </c>
      <c r="AJ62" s="158">
        <f t="shared" si="201"/>
        <v>0.23502595034366669</v>
      </c>
      <c r="AK62" s="158">
        <f t="shared" si="201"/>
        <v>0.15850566292894563</v>
      </c>
      <c r="AL62" s="580">
        <f t="shared" si="201"/>
        <v>0.26174592533163343</v>
      </c>
      <c r="AM62" s="158">
        <f t="shared" si="201"/>
        <v>0.23448486701314586</v>
      </c>
      <c r="AN62" s="158">
        <f t="shared" si="201"/>
        <v>1.2112358866672723E-2</v>
      </c>
      <c r="AO62" s="158">
        <f t="shared" si="201"/>
        <v>-1.54466466011699E-2</v>
      </c>
      <c r="AP62" s="158">
        <f t="shared" si="201"/>
        <v>0.71410505836575866</v>
      </c>
      <c r="AQ62" s="580">
        <f t="shared" si="201"/>
        <v>0.18006184399634173</v>
      </c>
      <c r="AR62" s="158">
        <f t="shared" si="202"/>
        <v>0.1223997028231798</v>
      </c>
      <c r="AS62" s="158">
        <f t="shared" si="202"/>
        <v>0.11329945575367595</v>
      </c>
      <c r="AT62" s="158">
        <f t="shared" si="202"/>
        <v>0.1030743496568034</v>
      </c>
      <c r="AU62" s="158">
        <f t="shared" si="202"/>
        <v>0.11049316156858291</v>
      </c>
      <c r="AV62" s="580">
        <f t="shared" si="202"/>
        <v>0.11212235287170524</v>
      </c>
      <c r="AW62" s="158">
        <f t="shared" si="202"/>
        <v>7.0218986154779728E-2</v>
      </c>
      <c r="AX62" s="158">
        <f t="shared" si="202"/>
        <v>0.10519918973666442</v>
      </c>
      <c r="AY62" s="158">
        <f t="shared" si="202"/>
        <v>0.13417695042878064</v>
      </c>
      <c r="AZ62" s="158">
        <f t="shared" si="202"/>
        <v>0.20783932951757977</v>
      </c>
      <c r="BA62" s="580">
        <f t="shared" si="202"/>
        <v>0.13079838318941772</v>
      </c>
      <c r="BB62" s="158">
        <f t="shared" si="203"/>
        <v>0.21039068137305428</v>
      </c>
      <c r="BC62" s="158">
        <f t="shared" si="204"/>
        <v>0.21498044965786911</v>
      </c>
      <c r="BD62" s="158">
        <f t="shared" si="205"/>
        <v>0.20622406639004143</v>
      </c>
      <c r="BE62" s="158">
        <f t="shared" si="206"/>
        <v>0.19891389887878153</v>
      </c>
      <c r="BF62" s="580">
        <f t="shared" si="207"/>
        <v>0.20724793689177923</v>
      </c>
      <c r="BG62" s="158">
        <f t="shared" si="208"/>
        <v>0.18357179356157394</v>
      </c>
      <c r="BH62" s="158">
        <f t="shared" si="209"/>
        <v>0.17446748597059347</v>
      </c>
      <c r="BI62" s="158">
        <f t="shared" si="210"/>
        <v>0.17526659786721699</v>
      </c>
      <c r="BJ62" s="158">
        <f t="shared" si="211"/>
        <v>0.12915116389454795</v>
      </c>
      <c r="BK62" s="580">
        <f t="shared" si="212"/>
        <v>0.16426360752234759</v>
      </c>
      <c r="BL62" s="158">
        <f t="shared" si="213"/>
        <v>0.18148947652455472</v>
      </c>
      <c r="BM62" s="158">
        <f t="shared" si="214"/>
        <v>0.17149903238512776</v>
      </c>
      <c r="BN62" s="158">
        <f t="shared" si="215"/>
        <v>0.17454509976096388</v>
      </c>
      <c r="BO62" s="158">
        <f t="shared" si="216"/>
        <v>0.18537491405175643</v>
      </c>
      <c r="BP62" s="580">
        <f t="shared" si="217"/>
        <v>0.17830839562366907</v>
      </c>
      <c r="BQ62" s="158">
        <f t="shared" si="218"/>
        <v>0.19019778011236466</v>
      </c>
      <c r="BR62" s="158">
        <f t="shared" si="218"/>
        <v>0.17254586653022441</v>
      </c>
      <c r="BS62" s="158">
        <f t="shared" si="219"/>
        <v>0.16515069706912544</v>
      </c>
      <c r="BT62" s="158">
        <f t="shared" si="220"/>
        <v>-1</v>
      </c>
      <c r="BU62" s="580">
        <f t="shared" si="221"/>
        <v>-0.14044930399930899</v>
      </c>
      <c r="BV62" s="158">
        <f t="shared" si="222"/>
        <v>-1</v>
      </c>
      <c r="BW62" s="158">
        <f t="shared" si="223"/>
        <v>-1</v>
      </c>
      <c r="BX62" s="158">
        <f t="shared" si="224"/>
        <v>-1</v>
      </c>
      <c r="BY62" s="158" t="e">
        <f t="shared" si="225"/>
        <v>#DIV/0!</v>
      </c>
      <c r="BZ62" s="580">
        <f t="shared" si="226"/>
        <v>-1</v>
      </c>
    </row>
    <row r="63" spans="2:78" s="150" customFormat="1" ht="5.25" customHeight="1">
      <c r="B63" s="155"/>
      <c r="C63" s="159"/>
      <c r="D63" s="272"/>
      <c r="E63" s="272"/>
      <c r="F63" s="272"/>
      <c r="G63" s="272"/>
      <c r="H63" s="272"/>
      <c r="I63" s="272" t="s">
        <v>131</v>
      </c>
      <c r="J63" s="272" t="s">
        <v>131</v>
      </c>
      <c r="K63" s="272" t="s">
        <v>131</v>
      </c>
      <c r="L63" s="272" t="s">
        <v>131</v>
      </c>
      <c r="M63" s="272" t="s">
        <v>131</v>
      </c>
      <c r="N63" s="272" t="s">
        <v>131</v>
      </c>
      <c r="O63" s="272" t="s">
        <v>131</v>
      </c>
      <c r="P63" s="272" t="s">
        <v>131</v>
      </c>
      <c r="Q63" s="272" t="s">
        <v>131</v>
      </c>
      <c r="R63" s="581" t="s">
        <v>131</v>
      </c>
      <c r="S63" s="272" t="s">
        <v>131</v>
      </c>
      <c r="T63" s="272" t="s">
        <v>131</v>
      </c>
      <c r="U63" s="272" t="s">
        <v>131</v>
      </c>
      <c r="V63" s="272" t="s">
        <v>131</v>
      </c>
      <c r="W63" s="581" t="s">
        <v>131</v>
      </c>
      <c r="X63" s="272" t="s">
        <v>131</v>
      </c>
      <c r="Y63" s="272" t="s">
        <v>131</v>
      </c>
      <c r="Z63" s="272" t="s">
        <v>131</v>
      </c>
      <c r="AA63" s="272" t="s">
        <v>131</v>
      </c>
      <c r="AB63" s="581" t="s">
        <v>131</v>
      </c>
      <c r="AC63" s="272" t="s">
        <v>131</v>
      </c>
      <c r="AD63" s="272" t="s">
        <v>131</v>
      </c>
      <c r="AE63" s="272" t="s">
        <v>131</v>
      </c>
      <c r="AF63" s="272" t="s">
        <v>131</v>
      </c>
      <c r="AG63" s="581"/>
      <c r="AH63" s="272" t="s">
        <v>131</v>
      </c>
      <c r="AI63" s="272" t="s">
        <v>131</v>
      </c>
      <c r="AJ63" s="272" t="s">
        <v>131</v>
      </c>
      <c r="AK63" s="272" t="s">
        <v>131</v>
      </c>
      <c r="AL63" s="581" t="s">
        <v>131</v>
      </c>
      <c r="AM63" s="272" t="s">
        <v>131</v>
      </c>
      <c r="AN63" s="272" t="s">
        <v>131</v>
      </c>
      <c r="AO63" s="272" t="s">
        <v>131</v>
      </c>
      <c r="AP63" s="272" t="s">
        <v>131</v>
      </c>
      <c r="AQ63" s="581" t="s">
        <v>131</v>
      </c>
      <c r="AR63" s="272" t="s">
        <v>131</v>
      </c>
      <c r="AS63" s="272" t="s">
        <v>131</v>
      </c>
      <c r="AT63" s="272" t="s">
        <v>131</v>
      </c>
      <c r="AU63" s="272" t="s">
        <v>131</v>
      </c>
      <c r="AV63" s="581" t="s">
        <v>131</v>
      </c>
      <c r="AW63" s="272" t="s">
        <v>131</v>
      </c>
      <c r="AX63" s="272" t="s">
        <v>131</v>
      </c>
      <c r="AY63" s="272" t="s">
        <v>131</v>
      </c>
      <c r="AZ63" s="272" t="s">
        <v>131</v>
      </c>
      <c r="BA63" s="581" t="s">
        <v>131</v>
      </c>
      <c r="BB63" s="272" t="s">
        <v>131</v>
      </c>
      <c r="BC63" s="272" t="s">
        <v>131</v>
      </c>
      <c r="BD63" s="272" t="s">
        <v>131</v>
      </c>
      <c r="BE63" s="272" t="s">
        <v>131</v>
      </c>
      <c r="BF63" s="581" t="s">
        <v>131</v>
      </c>
      <c r="BG63" s="272" t="s">
        <v>131</v>
      </c>
      <c r="BH63" s="272" t="s">
        <v>131</v>
      </c>
      <c r="BI63" s="272" t="s">
        <v>131</v>
      </c>
      <c r="BJ63" s="272" t="s">
        <v>131</v>
      </c>
      <c r="BK63" s="581" t="s">
        <v>131</v>
      </c>
      <c r="BL63" s="272" t="s">
        <v>131</v>
      </c>
      <c r="BM63" s="272" t="s">
        <v>131</v>
      </c>
      <c r="BN63" s="272" t="s">
        <v>131</v>
      </c>
      <c r="BO63" s="272" t="s">
        <v>131</v>
      </c>
      <c r="BP63" s="581" t="s">
        <v>131</v>
      </c>
      <c r="BQ63" s="272" t="s">
        <v>131</v>
      </c>
      <c r="BR63" s="272" t="s">
        <v>131</v>
      </c>
      <c r="BS63" s="272" t="s">
        <v>131</v>
      </c>
      <c r="BT63" s="272" t="s">
        <v>131</v>
      </c>
      <c r="BU63" s="581" t="s">
        <v>131</v>
      </c>
      <c r="BV63" s="272" t="s">
        <v>131</v>
      </c>
      <c r="BW63" s="272" t="s">
        <v>131</v>
      </c>
      <c r="BX63" s="272" t="s">
        <v>131</v>
      </c>
      <c r="BY63" s="272" t="s">
        <v>131</v>
      </c>
      <c r="BZ63" s="581" t="s">
        <v>131</v>
      </c>
    </row>
    <row r="64" spans="2:78" s="150" customFormat="1">
      <c r="B64" s="150" t="s">
        <v>130</v>
      </c>
      <c r="C64" s="159"/>
      <c r="D64" s="158"/>
      <c r="E64" s="158"/>
      <c r="F64" s="158"/>
      <c r="G64" s="158"/>
      <c r="H64" s="158"/>
      <c r="I64" s="158" t="e">
        <f t="shared" ref="I64:AF64" si="227">+I46/D46-1</f>
        <v>#DIV/0!</v>
      </c>
      <c r="J64" s="158" t="e">
        <f t="shared" si="227"/>
        <v>#DIV/0!</v>
      </c>
      <c r="K64" s="158" t="e">
        <f t="shared" si="227"/>
        <v>#DIV/0!</v>
      </c>
      <c r="L64" s="158" t="e">
        <f t="shared" si="227"/>
        <v>#DIV/0!</v>
      </c>
      <c r="M64" s="158" t="e">
        <f t="shared" si="227"/>
        <v>#DIV/0!</v>
      </c>
      <c r="N64" s="158" t="e">
        <f t="shared" si="227"/>
        <v>#DIV/0!</v>
      </c>
      <c r="O64" s="158" t="e">
        <f t="shared" si="227"/>
        <v>#DIV/0!</v>
      </c>
      <c r="P64" s="158" t="e">
        <f t="shared" si="227"/>
        <v>#DIV/0!</v>
      </c>
      <c r="Q64" s="158" t="e">
        <f t="shared" si="227"/>
        <v>#DIV/0!</v>
      </c>
      <c r="R64" s="580" t="e">
        <f t="shared" si="227"/>
        <v>#DIV/0!</v>
      </c>
      <c r="S64" s="158" t="e">
        <f t="shared" si="227"/>
        <v>#DIV/0!</v>
      </c>
      <c r="T64" s="158" t="e">
        <f t="shared" si="227"/>
        <v>#DIV/0!</v>
      </c>
      <c r="U64" s="158" t="e">
        <f t="shared" si="227"/>
        <v>#DIV/0!</v>
      </c>
      <c r="V64" s="158" t="e">
        <f t="shared" si="227"/>
        <v>#DIV/0!</v>
      </c>
      <c r="W64" s="580" t="e">
        <f t="shared" si="227"/>
        <v>#DIV/0!</v>
      </c>
      <c r="X64" s="158" t="e">
        <f t="shared" si="227"/>
        <v>#DIV/0!</v>
      </c>
      <c r="Y64" s="158" t="e">
        <f t="shared" si="227"/>
        <v>#DIV/0!</v>
      </c>
      <c r="Z64" s="158" t="e">
        <f t="shared" si="227"/>
        <v>#DIV/0!</v>
      </c>
      <c r="AA64" s="158" t="e">
        <f t="shared" si="227"/>
        <v>#DIV/0!</v>
      </c>
      <c r="AB64" s="580" t="e">
        <f t="shared" si="227"/>
        <v>#DIV/0!</v>
      </c>
      <c r="AC64" s="158" t="e">
        <f t="shared" si="227"/>
        <v>#DIV/0!</v>
      </c>
      <c r="AD64" s="158" t="e">
        <f t="shared" si="227"/>
        <v>#DIV/0!</v>
      </c>
      <c r="AE64" s="158" t="e">
        <f t="shared" si="227"/>
        <v>#DIV/0!</v>
      </c>
      <c r="AF64" s="158" t="e">
        <f t="shared" si="227"/>
        <v>#DIV/0!</v>
      </c>
      <c r="AG64" s="580"/>
      <c r="AH64" s="158">
        <f t="shared" ref="AH64:BA64" si="228">+AH46/AC46-1</f>
        <v>0.22132489975715819</v>
      </c>
      <c r="AI64" s="158">
        <f t="shared" si="228"/>
        <v>0.23237857582004273</v>
      </c>
      <c r="AJ64" s="158">
        <f t="shared" si="228"/>
        <v>0.20453857791225416</v>
      </c>
      <c r="AK64" s="158">
        <f t="shared" si="228"/>
        <v>0.17936898990701744</v>
      </c>
      <c r="AL64" s="580">
        <f t="shared" si="228"/>
        <v>0.20821130885334527</v>
      </c>
      <c r="AM64" s="158">
        <f t="shared" si="228"/>
        <v>0.16130275285921258</v>
      </c>
      <c r="AN64" s="158">
        <f t="shared" si="228"/>
        <v>0.158114829868091</v>
      </c>
      <c r="AO64" s="158">
        <f t="shared" si="228"/>
        <v>0.1536883530101314</v>
      </c>
      <c r="AP64" s="158">
        <f t="shared" si="228"/>
        <v>0.14102425876010782</v>
      </c>
      <c r="AQ64" s="580">
        <f t="shared" si="228"/>
        <v>0.15317205052906346</v>
      </c>
      <c r="AR64" s="158">
        <f t="shared" si="228"/>
        <v>0.14493715408199837</v>
      </c>
      <c r="AS64" s="158">
        <f t="shared" si="228"/>
        <v>0.12544185280441922</v>
      </c>
      <c r="AT64" s="158">
        <f t="shared" si="228"/>
        <v>0.12577566498530324</v>
      </c>
      <c r="AU64" s="158">
        <f t="shared" si="228"/>
        <v>0.11973211754700941</v>
      </c>
      <c r="AV64" s="580">
        <f t="shared" si="228"/>
        <v>0.12859172841387156</v>
      </c>
      <c r="AW64" s="158">
        <f t="shared" si="228"/>
        <v>0.12163963692428958</v>
      </c>
      <c r="AX64" s="158">
        <f t="shared" si="228"/>
        <v>0.12239108409321164</v>
      </c>
      <c r="AY64" s="158">
        <f t="shared" si="228"/>
        <v>0.12748605873061924</v>
      </c>
      <c r="AZ64" s="158">
        <f t="shared" si="228"/>
        <v>0.15800466239807598</v>
      </c>
      <c r="BA64" s="580">
        <f t="shared" si="228"/>
        <v>0.13282070073258145</v>
      </c>
      <c r="BB64" s="158">
        <f t="shared" ref="BB64" si="229">+BB46/AW46-1</f>
        <v>0.17222704535119271</v>
      </c>
      <c r="BC64" s="158">
        <f t="shared" ref="BC64" si="230">+BC46/AX46-1</f>
        <v>0.20251349020079834</v>
      </c>
      <c r="BD64" s="158">
        <f t="shared" ref="BD64" si="231">+BD46/AY46-1</f>
        <v>0.19657117807383684</v>
      </c>
      <c r="BE64" s="158">
        <f t="shared" ref="BE64" si="232">+BE46/AZ46-1</f>
        <v>0.19192020404445231</v>
      </c>
      <c r="BF64" s="580">
        <f t="shared" ref="BF64" si="233">+BF46/BA46-1</f>
        <v>0.19104170517447683</v>
      </c>
      <c r="BG64" s="158">
        <f t="shared" ref="BG64" si="234">+BG46/BB46-1</f>
        <v>0.15220419679068953</v>
      </c>
      <c r="BH64" s="158">
        <f t="shared" ref="BH64" si="235">+BH46/BC46-1</f>
        <v>0.14442878233091183</v>
      </c>
      <c r="BI64" s="158">
        <f t="shared" ref="BI64" si="236">+BI46/BD46-1</f>
        <v>0.13089255421667545</v>
      </c>
      <c r="BJ64" s="158">
        <f t="shared" ref="BJ64" si="237">+BJ46/BE46-1</f>
        <v>0.10486132870713605</v>
      </c>
      <c r="BK64" s="580">
        <f t="shared" ref="BK64" si="238">+BK46/BF46-1</f>
        <v>0.13218697100197452</v>
      </c>
      <c r="BL64" s="158">
        <f t="shared" ref="BL64" si="239">+BL46/BG46-1</f>
        <v>0.11571512744580392</v>
      </c>
      <c r="BM64" s="158">
        <f t="shared" ref="BM64" si="240">+BM46/BH46-1</f>
        <v>8.3806455844733119E-2</v>
      </c>
      <c r="BN64" s="158">
        <f t="shared" ref="BN64" si="241">+BN46/BI46-1</f>
        <v>8.3600946505535401E-2</v>
      </c>
      <c r="BO64" s="158">
        <f t="shared" ref="BO64" si="242">+BO46/BJ46-1</f>
        <v>0.1011343985612505</v>
      </c>
      <c r="BP64" s="580">
        <f t="shared" ref="BP64" si="243">+BP46/BK46-1</f>
        <v>9.5792647955300403E-2</v>
      </c>
      <c r="BQ64" s="158">
        <f t="shared" ref="BQ64:BR64" si="244">+BQ46/BL46-1</f>
        <v>9.6663351736908876E-2</v>
      </c>
      <c r="BR64" s="158">
        <f t="shared" si="244"/>
        <v>0.10324932081663385</v>
      </c>
      <c r="BS64" s="158">
        <f t="shared" ref="BS64" si="245">+BS46/BN46-1</f>
        <v>0.1040833966997472</v>
      </c>
      <c r="BT64" s="158">
        <f t="shared" ref="BT64" si="246">+BT46/BO46-1</f>
        <v>-1</v>
      </c>
      <c r="BU64" s="580">
        <f t="shared" ref="BU64" si="247">+BU46/BP46-1</f>
        <v>-0.18718470763087769</v>
      </c>
      <c r="BV64" s="158">
        <f t="shared" ref="BV64" si="248">+BV46/BQ46-1</f>
        <v>-1</v>
      </c>
      <c r="BW64" s="158">
        <f t="shared" ref="BW64" si="249">+BW46/BR46-1</f>
        <v>-1</v>
      </c>
      <c r="BX64" s="158">
        <f t="shared" ref="BX64" si="250">+BX46/BS46-1</f>
        <v>-1</v>
      </c>
      <c r="BY64" s="158" t="e">
        <f t="shared" ref="BY64" si="251">+BY46/BT46-1</f>
        <v>#DIV/0!</v>
      </c>
      <c r="BZ64" s="580">
        <f t="shared" ref="BZ64" si="252">+BZ46/BU46-1</f>
        <v>-1</v>
      </c>
    </row>
    <row r="65" spans="2:78" s="150" customFormat="1">
      <c r="C65" s="159"/>
      <c r="D65" s="161"/>
      <c r="E65" s="161"/>
      <c r="F65" s="161"/>
      <c r="G65" s="161"/>
      <c r="I65" s="161"/>
      <c r="J65" s="161"/>
      <c r="K65" s="161"/>
      <c r="L65" s="161"/>
      <c r="N65" s="161"/>
      <c r="O65" s="161"/>
      <c r="P65" s="161"/>
      <c r="Q65" s="161"/>
      <c r="S65" s="161"/>
      <c r="T65" s="161"/>
      <c r="U65" s="161"/>
      <c r="V65" s="161"/>
      <c r="X65" s="161"/>
      <c r="Y65" s="161"/>
      <c r="Z65" s="161"/>
      <c r="AA65" s="161"/>
      <c r="AC65" s="161"/>
      <c r="AD65" s="161"/>
      <c r="AE65" s="161"/>
      <c r="AF65" s="161"/>
      <c r="AH65" s="161"/>
      <c r="AI65" s="161"/>
      <c r="AJ65" s="161"/>
      <c r="AK65" s="161"/>
      <c r="AM65" s="161"/>
      <c r="AN65" s="161"/>
      <c r="AO65" s="161"/>
      <c r="AP65" s="161"/>
      <c r="AR65" s="161"/>
      <c r="AS65" s="161"/>
      <c r="AT65" s="161"/>
      <c r="AU65" s="161"/>
      <c r="AW65" s="161"/>
      <c r="AX65" s="161"/>
      <c r="AY65" s="161"/>
      <c r="AZ65" s="161"/>
      <c r="BB65" s="161"/>
      <c r="BC65" s="161"/>
      <c r="BD65" s="161"/>
      <c r="BE65" s="161"/>
      <c r="BG65" s="161"/>
      <c r="BH65" s="161"/>
      <c r="BI65" s="161"/>
      <c r="BJ65" s="161"/>
      <c r="BL65" s="161"/>
      <c r="BM65" s="161"/>
      <c r="BN65" s="161"/>
      <c r="BO65" s="161"/>
      <c r="BQ65" s="161"/>
      <c r="BR65" s="161"/>
      <c r="BS65" s="161"/>
      <c r="BT65" s="161"/>
      <c r="BV65" s="161"/>
      <c r="BW65" s="161"/>
      <c r="BX65" s="161"/>
      <c r="BY65" s="161"/>
    </row>
    <row r="66" spans="2:78" s="150" customFormat="1">
      <c r="B66" s="150" t="s">
        <v>432</v>
      </c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  <c r="AM66" s="162"/>
      <c r="AN66" s="162"/>
      <c r="AO66" s="162"/>
      <c r="AP66" s="162"/>
      <c r="AQ66" s="162"/>
      <c r="AR66" s="162"/>
      <c r="AS66" s="162"/>
      <c r="AT66" s="162"/>
      <c r="AU66" s="162"/>
      <c r="AV66" s="162"/>
      <c r="AW66" s="162"/>
      <c r="AX66" s="162"/>
      <c r="AY66" s="162"/>
      <c r="AZ66" s="162"/>
      <c r="BA66" s="162"/>
      <c r="BB66" s="162"/>
      <c r="BC66" s="162"/>
      <c r="BD66" s="162"/>
      <c r="BE66" s="162"/>
      <c r="BF66" s="162"/>
      <c r="BG66" s="162"/>
      <c r="BH66" s="162"/>
      <c r="BI66" s="162"/>
      <c r="BJ66" s="162"/>
      <c r="BK66" s="162"/>
      <c r="BL66" s="162"/>
      <c r="BM66" s="162"/>
      <c r="BN66" s="162"/>
      <c r="BO66" s="162"/>
      <c r="BP66" s="162"/>
      <c r="BQ66" s="162"/>
      <c r="BR66" s="162"/>
      <c r="BS66" s="162"/>
      <c r="BT66" s="162"/>
      <c r="BU66" s="162"/>
      <c r="BV66" s="162"/>
      <c r="BW66" s="162"/>
      <c r="BX66" s="162"/>
      <c r="BY66" s="162"/>
      <c r="BZ66" s="162"/>
    </row>
    <row r="67" spans="2:78" s="150" customFormat="1" ht="13.15" thickBot="1">
      <c r="B67" s="197" t="s">
        <v>422</v>
      </c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  <c r="AV67" s="163"/>
      <c r="AW67" s="163"/>
      <c r="AX67" s="163"/>
      <c r="AY67" s="163"/>
      <c r="AZ67" s="163"/>
      <c r="BA67" s="163"/>
      <c r="BB67" s="163"/>
      <c r="BC67" s="163"/>
      <c r="BD67" s="163"/>
      <c r="BE67" s="163"/>
      <c r="BF67" s="163"/>
      <c r="BG67" s="163"/>
      <c r="BH67" s="163"/>
      <c r="BI67" s="163"/>
      <c r="BJ67" s="163"/>
      <c r="BK67" s="163"/>
      <c r="BL67" s="163"/>
      <c r="BM67" s="163"/>
      <c r="BN67" s="163"/>
      <c r="BO67" s="163"/>
      <c r="BP67" s="163"/>
      <c r="BQ67" s="163"/>
      <c r="BR67" s="163"/>
      <c r="BS67" s="163"/>
      <c r="BT67" s="163"/>
      <c r="BU67" s="163"/>
      <c r="BV67" s="163"/>
      <c r="BW67" s="163"/>
      <c r="BX67" s="163"/>
      <c r="BY67" s="163"/>
      <c r="BZ67" s="163"/>
    </row>
    <row r="68" spans="2:78" s="150" customFormat="1">
      <c r="B68" s="642"/>
      <c r="C68" s="642"/>
      <c r="D68" s="642"/>
      <c r="E68" s="642"/>
      <c r="F68" s="642"/>
      <c r="G68" s="642"/>
      <c r="H68" s="642"/>
      <c r="I68" s="642"/>
      <c r="J68" s="642"/>
      <c r="K68" s="642"/>
      <c r="L68" s="642"/>
      <c r="M68" s="642"/>
      <c r="N68" s="642"/>
      <c r="O68" s="642"/>
      <c r="P68" s="642"/>
      <c r="Q68" s="642"/>
      <c r="R68" s="642"/>
      <c r="S68" s="642"/>
      <c r="T68" s="642"/>
      <c r="U68" s="642"/>
      <c r="V68" s="642"/>
      <c r="W68" s="642"/>
      <c r="X68" s="642"/>
      <c r="Y68" s="642"/>
      <c r="Z68" s="642"/>
      <c r="AA68" s="642"/>
      <c r="AB68" s="642"/>
      <c r="AC68" s="642"/>
      <c r="AD68" s="642"/>
      <c r="AE68" s="642"/>
      <c r="AF68" s="642"/>
      <c r="AG68" s="642"/>
      <c r="AH68" s="642"/>
      <c r="AI68" s="642"/>
      <c r="AJ68" s="642"/>
      <c r="AK68" s="642"/>
      <c r="AL68" s="642"/>
      <c r="AM68" s="642"/>
      <c r="AN68" s="642"/>
      <c r="AO68" s="642"/>
      <c r="AP68" s="642"/>
      <c r="AQ68" s="642"/>
      <c r="AR68" s="642"/>
      <c r="AS68" s="642"/>
      <c r="AT68" s="642"/>
      <c r="AU68" s="642"/>
      <c r="AV68" s="642"/>
      <c r="AW68" s="642"/>
      <c r="AX68" s="642"/>
      <c r="AY68" s="642"/>
      <c r="AZ68" s="642"/>
      <c r="BA68" s="642"/>
      <c r="BB68" s="642"/>
      <c r="BC68" s="642"/>
      <c r="BD68" s="642"/>
      <c r="BE68" s="642"/>
      <c r="BF68" s="642"/>
      <c r="BG68" s="642"/>
      <c r="BH68" s="642"/>
      <c r="BI68" s="642"/>
      <c r="BJ68" s="642"/>
      <c r="BK68" s="642"/>
      <c r="BL68" s="642"/>
      <c r="BM68" s="642"/>
      <c r="BN68" s="642"/>
      <c r="BO68" s="642"/>
      <c r="BP68" s="642"/>
      <c r="BQ68" s="642"/>
      <c r="BR68" s="642"/>
      <c r="BS68" s="642"/>
      <c r="BT68" s="642"/>
      <c r="BU68" s="642"/>
      <c r="BV68" s="642"/>
      <c r="BW68" s="642"/>
      <c r="BX68" s="642"/>
      <c r="BY68" s="642"/>
      <c r="BZ68" s="642"/>
    </row>
    <row r="69" spans="2:78" s="150" customFormat="1">
      <c r="B69" s="150" t="s">
        <v>135</v>
      </c>
      <c r="C69" s="154"/>
      <c r="D69" s="154">
        <f>+IS!D9</f>
        <v>21191</v>
      </c>
      <c r="E69" s="154">
        <f>+IS!E9</f>
        <v>22190</v>
      </c>
      <c r="F69" s="154">
        <f>+IS!F9</f>
        <v>23382</v>
      </c>
      <c r="G69" s="154">
        <f>+IS!G9</f>
        <v>24657</v>
      </c>
      <c r="H69" s="154">
        <f>+IS!H9</f>
        <v>91420</v>
      </c>
      <c r="I69" s="154">
        <f>+IS!I9</f>
        <v>24883</v>
      </c>
      <c r="J69" s="154">
        <f>+IS!J9</f>
        <v>26291</v>
      </c>
      <c r="K69" s="154">
        <f>+IS!K9</f>
        <v>27749</v>
      </c>
      <c r="L69" s="154">
        <f>+IS!L9</f>
        <v>29039.000000000011</v>
      </c>
      <c r="M69" s="154">
        <f>+IS!M9</f>
        <v>107962.00000000001</v>
      </c>
      <c r="N69" s="154">
        <f>+IS!N9</f>
        <v>30356</v>
      </c>
      <c r="O69" s="154">
        <f>+IS!O9</f>
        <v>32302</v>
      </c>
      <c r="P69" s="154">
        <f>+IS!P9</f>
        <v>34348</v>
      </c>
      <c r="Q69" s="154">
        <f>+IS!Q9</f>
        <v>36573</v>
      </c>
      <c r="R69" s="154">
        <f>+IS!R9</f>
        <v>133579</v>
      </c>
      <c r="S69" s="154">
        <f>+IS!S9</f>
        <v>37493</v>
      </c>
      <c r="T69" s="154">
        <f>+IS!T9</f>
        <v>39877</v>
      </c>
      <c r="U69" s="154">
        <f>+IS!U9</f>
        <v>42469</v>
      </c>
      <c r="V69" s="154">
        <f>+IS!V9</f>
        <v>44445</v>
      </c>
      <c r="W69" s="154">
        <f>+IS!W9</f>
        <v>164284</v>
      </c>
      <c r="X69" s="154">
        <f>+IS!X9</f>
        <v>46248</v>
      </c>
      <c r="Y69" s="154">
        <f>+IS!Y9</f>
        <v>48466</v>
      </c>
      <c r="Z69" s="154">
        <f>+IS!Z9</f>
        <v>50987</v>
      </c>
      <c r="AA69" s="154">
        <f>+IS!AA9</f>
        <v>52224</v>
      </c>
      <c r="AB69" s="154">
        <f>+IS!AB9</f>
        <v>197925</v>
      </c>
      <c r="AC69" s="154">
        <f>+IS!AC9</f>
        <v>53121</v>
      </c>
      <c r="AD69" s="154">
        <f>+IS!AD9</f>
        <v>55302</v>
      </c>
      <c r="AE69" s="154">
        <f>+IS!AE9</f>
        <v>59490</v>
      </c>
      <c r="AF69" s="154">
        <f>+IS!AF9</f>
        <v>62915</v>
      </c>
      <c r="AG69" s="154">
        <f>+IS!AG9</f>
        <v>230828</v>
      </c>
      <c r="AH69" s="154">
        <f>+IS!AH9</f>
        <v>64878</v>
      </c>
      <c r="AI69" s="154">
        <f>+IS!AI9</f>
        <v>68153</v>
      </c>
      <c r="AJ69" s="154">
        <f>+IS!AJ9</f>
        <v>71658</v>
      </c>
      <c r="AK69" s="154">
        <f>+IS!AK9</f>
        <v>74200</v>
      </c>
      <c r="AL69" s="154">
        <f>+IS!AL9</f>
        <v>278889</v>
      </c>
      <c r="AM69" s="154">
        <f>+IS!AM9</f>
        <v>75343</v>
      </c>
      <c r="AN69" s="154">
        <f>+IS!AN9</f>
        <v>78929</v>
      </c>
      <c r="AO69" s="154">
        <f>+IS!AO9</f>
        <v>82671</v>
      </c>
      <c r="AP69" s="154">
        <f>+IS!AP9</f>
        <v>84664</v>
      </c>
      <c r="AQ69" s="154">
        <f>+IS!AQ9</f>
        <v>321607</v>
      </c>
      <c r="AR69" s="154">
        <f>+IS!AR9</f>
        <v>86263</v>
      </c>
      <c r="AS69" s="154">
        <f>+IS!AS9</f>
        <v>88830</v>
      </c>
      <c r="AT69" s="154">
        <f>+IS!AT9</f>
        <v>93069</v>
      </c>
      <c r="AU69" s="154">
        <f>+IS!AU9</f>
        <v>94801</v>
      </c>
      <c r="AV69" s="154">
        <f>+IS!AV9</f>
        <v>362963</v>
      </c>
      <c r="AW69" s="154">
        <f>+IS!AW9</f>
        <v>96756</v>
      </c>
      <c r="AX69" s="154">
        <f>+IS!AX9</f>
        <v>99702</v>
      </c>
      <c r="AY69" s="154">
        <f>+IS!AY9</f>
        <v>104934</v>
      </c>
      <c r="AZ69" s="154">
        <f>+IS!AZ9</f>
        <v>109780</v>
      </c>
      <c r="BA69" s="154">
        <f>+IS!BA9</f>
        <v>411172</v>
      </c>
      <c r="BB69" s="154">
        <f>+IS!BB9</f>
        <v>113420</v>
      </c>
      <c r="BC69" s="154">
        <f>+IS!BC9</f>
        <v>119893</v>
      </c>
      <c r="BD69" s="154">
        <f>+IS!BD9</f>
        <v>125561</v>
      </c>
      <c r="BE69" s="154">
        <f>+IS!BE9</f>
        <v>130849</v>
      </c>
      <c r="BF69" s="154">
        <f>+IS!BF9</f>
        <v>489723</v>
      </c>
      <c r="BG69" s="154">
        <f>+IS!BG9</f>
        <v>130683</v>
      </c>
      <c r="BH69" s="154">
        <f>+IS!BH9</f>
        <v>137209</v>
      </c>
      <c r="BI69" s="154">
        <f>+IS!BI9</f>
        <v>141996</v>
      </c>
      <c r="BJ69" s="154">
        <f>+IS!BJ9</f>
        <v>144570</v>
      </c>
      <c r="BK69" s="154">
        <f>+IS!BK9</f>
        <v>554458</v>
      </c>
      <c r="BL69" s="154">
        <f>+IS!BL9</f>
        <v>145805</v>
      </c>
      <c r="BM69" s="154">
        <f>+IS!BM9</f>
        <v>148708</v>
      </c>
      <c r="BN69" s="154">
        <f>+IS!BN9</f>
        <v>153867</v>
      </c>
      <c r="BO69" s="154">
        <f>+IS!BO9</f>
        <v>159191</v>
      </c>
      <c r="BP69" s="154">
        <f>+IS!BP9</f>
        <v>607571</v>
      </c>
      <c r="BQ69" s="154">
        <f>+IS!BQ9</f>
        <v>159899</v>
      </c>
      <c r="BR69" s="154">
        <f>+IS!BR9</f>
        <v>164062</v>
      </c>
      <c r="BS69" s="154">
        <f>+IS!BS9</f>
        <v>169882</v>
      </c>
      <c r="BT69" s="154">
        <f>+IS!BT9</f>
        <v>175282</v>
      </c>
      <c r="BU69" s="154">
        <f>+IS!BU9</f>
        <v>669125</v>
      </c>
      <c r="BV69" s="154">
        <f>+IS!BV9</f>
        <v>173490.41500000001</v>
      </c>
      <c r="BW69" s="154">
        <f>+IS!BW9</f>
        <v>177186.96000000002</v>
      </c>
      <c r="BX69" s="154">
        <f>+IS!BX9</f>
        <v>182623.15</v>
      </c>
      <c r="BY69" s="154">
        <f>+IS!BY9</f>
        <v>187551.74000000002</v>
      </c>
      <c r="BZ69" s="154">
        <f>+IS!BZ9</f>
        <v>720852.26500000013</v>
      </c>
    </row>
    <row r="70" spans="2:78" s="150" customFormat="1">
      <c r="B70" s="150" t="s">
        <v>136</v>
      </c>
      <c r="D70" s="164">
        <f t="shared" ref="D70:AI70" si="253">D46-D69</f>
        <v>-21191</v>
      </c>
      <c r="E70" s="164">
        <f t="shared" si="253"/>
        <v>-22190</v>
      </c>
      <c r="F70" s="164">
        <f t="shared" si="253"/>
        <v>-23382</v>
      </c>
      <c r="G70" s="164">
        <f t="shared" si="253"/>
        <v>-24657</v>
      </c>
      <c r="H70" s="164">
        <f t="shared" si="253"/>
        <v>-91420</v>
      </c>
      <c r="I70" s="164">
        <f t="shared" si="253"/>
        <v>-24883</v>
      </c>
      <c r="J70" s="164">
        <f t="shared" si="253"/>
        <v>-26291</v>
      </c>
      <c r="K70" s="164">
        <f t="shared" si="253"/>
        <v>-27749</v>
      </c>
      <c r="L70" s="164">
        <f t="shared" si="253"/>
        <v>-29039.000000000011</v>
      </c>
      <c r="M70" s="164">
        <f t="shared" si="253"/>
        <v>-107962.00000000001</v>
      </c>
      <c r="N70" s="164">
        <f t="shared" si="253"/>
        <v>-30356</v>
      </c>
      <c r="O70" s="164">
        <f t="shared" si="253"/>
        <v>-32302</v>
      </c>
      <c r="P70" s="164">
        <f t="shared" si="253"/>
        <v>-34348</v>
      </c>
      <c r="Q70" s="164">
        <f t="shared" si="253"/>
        <v>-36573</v>
      </c>
      <c r="R70" s="164">
        <f t="shared" si="253"/>
        <v>-133579</v>
      </c>
      <c r="S70" s="164">
        <f t="shared" si="253"/>
        <v>-37493</v>
      </c>
      <c r="T70" s="164">
        <f t="shared" si="253"/>
        <v>-39877</v>
      </c>
      <c r="U70" s="164">
        <f t="shared" si="253"/>
        <v>-42469</v>
      </c>
      <c r="V70" s="164">
        <f t="shared" si="253"/>
        <v>-44445</v>
      </c>
      <c r="W70" s="164">
        <f t="shared" si="253"/>
        <v>-164284</v>
      </c>
      <c r="X70" s="164">
        <f t="shared" si="253"/>
        <v>-46248</v>
      </c>
      <c r="Y70" s="164">
        <f t="shared" si="253"/>
        <v>-48466</v>
      </c>
      <c r="Z70" s="164">
        <f t="shared" si="253"/>
        <v>-50987</v>
      </c>
      <c r="AA70" s="164">
        <f t="shared" si="253"/>
        <v>-52224</v>
      </c>
      <c r="AB70" s="164">
        <f t="shared" si="253"/>
        <v>-197925</v>
      </c>
      <c r="AC70" s="164">
        <f t="shared" si="253"/>
        <v>0</v>
      </c>
      <c r="AD70" s="164">
        <f t="shared" si="253"/>
        <v>0</v>
      </c>
      <c r="AE70" s="164">
        <f t="shared" si="253"/>
        <v>0</v>
      </c>
      <c r="AF70" s="164">
        <f t="shared" si="253"/>
        <v>0</v>
      </c>
      <c r="AG70" s="164">
        <f t="shared" si="253"/>
        <v>0</v>
      </c>
      <c r="AH70" s="164">
        <f t="shared" si="253"/>
        <v>0</v>
      </c>
      <c r="AI70" s="164">
        <f t="shared" si="253"/>
        <v>0</v>
      </c>
      <c r="AJ70" s="164">
        <f t="shared" ref="AJ70:BA70" si="254">AJ46-AJ69</f>
        <v>0</v>
      </c>
      <c r="AK70" s="164">
        <f t="shared" si="254"/>
        <v>0</v>
      </c>
      <c r="AL70" s="164">
        <f t="shared" si="254"/>
        <v>0</v>
      </c>
      <c r="AM70" s="164">
        <f t="shared" si="254"/>
        <v>0</v>
      </c>
      <c r="AN70" s="164">
        <f t="shared" si="254"/>
        <v>0</v>
      </c>
      <c r="AO70" s="164">
        <f t="shared" si="254"/>
        <v>0</v>
      </c>
      <c r="AP70" s="164">
        <f t="shared" si="254"/>
        <v>0</v>
      </c>
      <c r="AQ70" s="164">
        <f t="shared" si="254"/>
        <v>0</v>
      </c>
      <c r="AR70" s="164">
        <f t="shared" si="254"/>
        <v>0</v>
      </c>
      <c r="AS70" s="164">
        <f t="shared" si="254"/>
        <v>0</v>
      </c>
      <c r="AT70" s="164">
        <f t="shared" si="254"/>
        <v>0</v>
      </c>
      <c r="AU70" s="164">
        <f t="shared" si="254"/>
        <v>0</v>
      </c>
      <c r="AV70" s="164">
        <f t="shared" si="254"/>
        <v>0</v>
      </c>
      <c r="AW70" s="164">
        <f t="shared" si="254"/>
        <v>0</v>
      </c>
      <c r="AX70" s="164">
        <f t="shared" si="254"/>
        <v>0</v>
      </c>
      <c r="AY70" s="164">
        <f t="shared" si="254"/>
        <v>0</v>
      </c>
      <c r="AZ70" s="164">
        <f t="shared" si="254"/>
        <v>0</v>
      </c>
      <c r="BA70" s="164">
        <f t="shared" si="254"/>
        <v>0</v>
      </c>
      <c r="BB70" s="164">
        <f t="shared" ref="BB70:BF70" si="255">BB46-BB69</f>
        <v>0</v>
      </c>
      <c r="BC70" s="164">
        <f t="shared" si="255"/>
        <v>0</v>
      </c>
      <c r="BD70" s="164">
        <f t="shared" si="255"/>
        <v>0</v>
      </c>
      <c r="BE70" s="164">
        <f t="shared" si="255"/>
        <v>0</v>
      </c>
      <c r="BF70" s="164">
        <f t="shared" si="255"/>
        <v>0</v>
      </c>
      <c r="BG70" s="164">
        <f t="shared" ref="BG70:BK70" si="256">BG46-BG69</f>
        <v>0</v>
      </c>
      <c r="BH70" s="164">
        <f t="shared" si="256"/>
        <v>0</v>
      </c>
      <c r="BI70" s="164">
        <f t="shared" si="256"/>
        <v>0</v>
      </c>
      <c r="BJ70" s="164">
        <f t="shared" si="256"/>
        <v>0</v>
      </c>
      <c r="BK70" s="164">
        <f t="shared" si="256"/>
        <v>0</v>
      </c>
      <c r="BL70" s="164">
        <f t="shared" ref="BL70:BP70" si="257">BL46-BL69</f>
        <v>0</v>
      </c>
      <c r="BM70" s="164">
        <f t="shared" si="257"/>
        <v>0</v>
      </c>
      <c r="BN70" s="164">
        <f t="shared" si="257"/>
        <v>0</v>
      </c>
      <c r="BO70" s="164">
        <f t="shared" si="257"/>
        <v>0</v>
      </c>
      <c r="BP70" s="164">
        <f t="shared" si="257"/>
        <v>0</v>
      </c>
      <c r="BQ70" s="164">
        <f t="shared" ref="BQ70:BU70" si="258">BQ46-BQ69</f>
        <v>0</v>
      </c>
      <c r="BR70" s="164">
        <f t="shared" si="258"/>
        <v>0</v>
      </c>
      <c r="BS70" s="164">
        <f t="shared" si="258"/>
        <v>0</v>
      </c>
      <c r="BT70" s="164">
        <f t="shared" si="258"/>
        <v>-175282</v>
      </c>
      <c r="BU70" s="164">
        <f t="shared" si="258"/>
        <v>-175282</v>
      </c>
      <c r="BV70" s="164">
        <f t="shared" ref="BV70:BZ70" si="259">BV46-BV69</f>
        <v>-173490.41500000001</v>
      </c>
      <c r="BW70" s="164">
        <f t="shared" si="259"/>
        <v>-177186.96000000002</v>
      </c>
      <c r="BX70" s="164">
        <f t="shared" si="259"/>
        <v>-182623.15</v>
      </c>
      <c r="BY70" s="164">
        <f t="shared" si="259"/>
        <v>-187551.74000000002</v>
      </c>
      <c r="BZ70" s="164">
        <f t="shared" si="259"/>
        <v>-720852.26500000013</v>
      </c>
    </row>
  </sheetData>
  <pageMargins left="0.5" right="0.5" top="1" bottom="1" header="0.5" footer="0.5"/>
  <pageSetup scale="9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2ABE-C44D-4BC9-AD36-5329E24E968C}">
  <dimension ref="B2:BL19"/>
  <sheetViews>
    <sheetView showGridLines="0" tabSelected="1" view="pageBreakPreview" topLeftCell="F1" zoomScale="80" zoomScaleNormal="100" zoomScaleSheetLayoutView="80" workbookViewId="0">
      <selection activeCell="S6" sqref="S6"/>
    </sheetView>
  </sheetViews>
  <sheetFormatPr defaultRowHeight="14.25" outlineLevelCol="1"/>
  <cols>
    <col min="2" max="2" width="23.3984375" bestFit="1" customWidth="1"/>
    <col min="6" max="6" width="8.86328125" customWidth="1"/>
    <col min="7" max="7" width="8.86328125" hidden="1" customWidth="1"/>
    <col min="8" max="9" width="11.1328125" hidden="1" customWidth="1"/>
    <col min="10" max="10" width="11.59765625" hidden="1" customWidth="1" outlineLevel="1"/>
    <col min="11" max="11" width="11" hidden="1" customWidth="1" outlineLevel="1"/>
    <col min="12" max="12" width="11.1328125" hidden="1" customWidth="1" outlineLevel="1"/>
    <col min="13" max="13" width="11.1328125" bestFit="1" customWidth="1" collapsed="1"/>
    <col min="14" max="14" width="11.59765625" customWidth="1" outlineLevel="1"/>
    <col min="15" max="15" width="11" customWidth="1" outlineLevel="1"/>
    <col min="16" max="16" width="11.1328125" customWidth="1" outlineLevel="1"/>
    <col min="17" max="17" width="11.1328125" bestFit="1" customWidth="1"/>
    <col min="18" max="18" width="11.59765625" bestFit="1" customWidth="1" outlineLevel="1"/>
    <col min="19" max="19" width="11" bestFit="1" customWidth="1" outlineLevel="1"/>
    <col min="20" max="20" width="11.3984375" bestFit="1" customWidth="1" outlineLevel="1"/>
    <col min="21" max="21" width="11.3984375" bestFit="1" customWidth="1"/>
    <col min="22" max="22" width="11.3984375" bestFit="1" customWidth="1" outlineLevel="1"/>
    <col min="23" max="23" width="11.1328125" bestFit="1" customWidth="1" outlineLevel="1"/>
    <col min="24" max="24" width="11.3984375" bestFit="1" customWidth="1" outlineLevel="1"/>
    <col min="25" max="25" width="11.3984375" bestFit="1" customWidth="1"/>
    <col min="26" max="26" width="11.3984375" bestFit="1" customWidth="1" outlineLevel="1"/>
    <col min="27" max="27" width="11.1328125" bestFit="1" customWidth="1" outlineLevel="1"/>
    <col min="28" max="28" width="11.3984375" bestFit="1" customWidth="1" outlineLevel="1"/>
    <col min="29" max="29" width="11.3984375" bestFit="1" customWidth="1"/>
  </cols>
  <sheetData>
    <row r="2" spans="2:64" ht="14.65" thickBot="1">
      <c r="B2" s="650"/>
      <c r="C2" s="651"/>
      <c r="D2" s="652"/>
      <c r="E2" s="652"/>
      <c r="F2" s="652"/>
      <c r="G2" s="652"/>
      <c r="H2" s="653"/>
      <c r="I2" s="652"/>
      <c r="J2" s="653"/>
      <c r="K2" s="652"/>
      <c r="L2" s="652"/>
      <c r="M2" s="652"/>
      <c r="N2" s="652"/>
      <c r="O2" s="653"/>
      <c r="P2" s="653"/>
      <c r="Q2" s="653"/>
      <c r="R2" s="653"/>
      <c r="S2" s="653"/>
      <c r="T2" s="653"/>
      <c r="U2" s="653"/>
      <c r="V2" s="653"/>
      <c r="W2" s="653"/>
      <c r="X2" s="653"/>
      <c r="Y2" s="653"/>
      <c r="Z2" s="653"/>
      <c r="AA2" s="653"/>
      <c r="AB2" s="653"/>
      <c r="AC2" s="653"/>
      <c r="AD2" s="653"/>
      <c r="AE2" s="653"/>
      <c r="AF2" s="653"/>
      <c r="AG2" s="653"/>
      <c r="AH2" s="653"/>
      <c r="AI2" s="653"/>
      <c r="AJ2" s="653"/>
      <c r="AK2" s="653"/>
      <c r="AL2" s="653"/>
      <c r="AM2" s="653"/>
      <c r="AN2" s="653"/>
      <c r="AO2" s="653"/>
      <c r="AP2" s="653"/>
      <c r="AQ2" s="653"/>
      <c r="AR2" s="653"/>
      <c r="AS2" s="653"/>
      <c r="AT2" s="653"/>
      <c r="AU2" s="653"/>
      <c r="AV2" s="653"/>
      <c r="AW2" s="653"/>
      <c r="AX2" s="653"/>
      <c r="AY2" s="653"/>
      <c r="AZ2" s="653"/>
      <c r="BA2" s="653"/>
      <c r="BB2" s="653"/>
      <c r="BC2" s="653"/>
      <c r="BD2" s="653"/>
      <c r="BE2" s="653"/>
      <c r="BF2" s="653"/>
      <c r="BG2" s="653"/>
      <c r="BH2" s="653"/>
      <c r="BI2" s="653"/>
      <c r="BJ2" s="653"/>
      <c r="BK2" s="653"/>
      <c r="BL2" s="653"/>
    </row>
    <row r="3" spans="2:64" ht="17.649999999999999">
      <c r="B3" s="263" t="s">
        <v>484</v>
      </c>
      <c r="E3" s="715"/>
      <c r="F3" s="715"/>
      <c r="G3" s="715"/>
      <c r="H3" s="715"/>
      <c r="J3" s="809" t="str">
        <f>IS!BB5</f>
        <v>2022A</v>
      </c>
      <c r="K3" s="810"/>
      <c r="L3" s="810"/>
      <c r="M3" s="811"/>
      <c r="N3" s="809" t="str">
        <f>IS!BG5</f>
        <v>2023A</v>
      </c>
      <c r="O3" s="810"/>
      <c r="P3" s="810"/>
      <c r="Q3" s="811"/>
      <c r="R3" s="809" t="str">
        <f>IS!BL5</f>
        <v>2024A</v>
      </c>
      <c r="S3" s="810"/>
      <c r="T3" s="810"/>
      <c r="U3" s="811"/>
      <c r="V3" s="809" t="str">
        <f>IS!BQ5</f>
        <v>2025A</v>
      </c>
      <c r="W3" s="810"/>
      <c r="X3" s="810"/>
      <c r="Y3" s="811"/>
      <c r="Z3" s="809" t="str">
        <f>IS!BV5</f>
        <v>2026E</v>
      </c>
      <c r="AA3" s="810"/>
      <c r="AB3" s="810"/>
      <c r="AC3" s="811"/>
    </row>
    <row r="4" spans="2:64">
      <c r="H4" s="308" t="str">
        <f>IS!AY6</f>
        <v>3Q-Sep 21A</v>
      </c>
      <c r="I4" s="308" t="str">
        <f>IS!AZ6</f>
        <v>4Q-Dec 21A</v>
      </c>
      <c r="J4" s="718" t="str">
        <f>IS!BB6</f>
        <v>1Q-Mar 22A</v>
      </c>
      <c r="K4" s="260" t="str">
        <f>IS!BC6</f>
        <v>2Q-Jun 22A</v>
      </c>
      <c r="L4" s="260" t="str">
        <f>IS!BD6</f>
        <v>3Q-Sep 22A</v>
      </c>
      <c r="M4" s="719" t="str">
        <f>IS!BE6</f>
        <v>4Q-Dec 22A</v>
      </c>
      <c r="N4" s="718" t="str">
        <f>IS!BG6</f>
        <v>1Q-Mar 23A</v>
      </c>
      <c r="O4" s="260" t="str">
        <f>IS!BH6</f>
        <v>2Q-Jun 23A</v>
      </c>
      <c r="P4" s="260" t="str">
        <f>IS!BI6</f>
        <v>3Q-Sep 23A</v>
      </c>
      <c r="Q4" s="719" t="str">
        <f>IS!BJ6</f>
        <v>4Q-Dec 23A</v>
      </c>
      <c r="R4" s="718" t="str">
        <f>IS!BL6</f>
        <v>1Q-Mar 24A</v>
      </c>
      <c r="S4" s="260" t="str">
        <f>IS!BM6</f>
        <v>2Q-Jun 24A</v>
      </c>
      <c r="T4" s="260" t="str">
        <f>IS!BN6</f>
        <v>3Q-Sep 24A</v>
      </c>
      <c r="U4" s="719" t="str">
        <f>IS!BO6</f>
        <v>4Q-Dec 24A</v>
      </c>
      <c r="V4" s="718" t="str">
        <f>IS!BQ6</f>
        <v>1Q-Mar 25A</v>
      </c>
      <c r="W4" s="260" t="str">
        <f>IS!BR6</f>
        <v>2Q-Jun 25A</v>
      </c>
      <c r="X4" s="260" t="str">
        <f>IS!BS6</f>
        <v>3Q-Sep 25A</v>
      </c>
      <c r="Y4" s="719" t="str">
        <f>IS!BT6</f>
        <v>4Q-Dec 25A</v>
      </c>
      <c r="Z4" s="718" t="str">
        <f>IS!BV6</f>
        <v>1Q-Mar 26E</v>
      </c>
      <c r="AA4" s="260" t="str">
        <f>IS!BW6</f>
        <v>2Q-Jun 26E</v>
      </c>
      <c r="AB4" s="260" t="str">
        <f>IS!BX6</f>
        <v>3Q-Sep 26E</v>
      </c>
      <c r="AC4" s="719" t="str">
        <f>IS!BY6</f>
        <v>4Q-Dec 26E</v>
      </c>
    </row>
    <row r="5" spans="2:64"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</row>
    <row r="6" spans="2:64">
      <c r="B6" s="308" t="s">
        <v>482</v>
      </c>
      <c r="H6" s="717">
        <v>1.04</v>
      </c>
      <c r="I6" s="717">
        <v>1.08</v>
      </c>
      <c r="J6" s="717">
        <f>I6</f>
        <v>1.08</v>
      </c>
      <c r="K6" s="717">
        <f>J6</f>
        <v>1.08</v>
      </c>
      <c r="L6" s="717">
        <f>M6</f>
        <v>1.0900000000000001</v>
      </c>
      <c r="M6" s="717">
        <v>1.0900000000000001</v>
      </c>
      <c r="N6" s="717">
        <f>M6</f>
        <v>1.0900000000000001</v>
      </c>
      <c r="O6" s="717">
        <v>1.08</v>
      </c>
      <c r="P6" s="717">
        <v>1.06</v>
      </c>
      <c r="Q6" s="717">
        <v>1.05</v>
      </c>
      <c r="R6" s="717">
        <v>1.04</v>
      </c>
      <c r="S6" s="717">
        <v>1.02</v>
      </c>
      <c r="T6" s="717">
        <v>1.03</v>
      </c>
      <c r="U6" s="717">
        <v>1.03</v>
      </c>
      <c r="V6" s="717">
        <v>1.03</v>
      </c>
      <c r="W6" s="717">
        <v>1.04</v>
      </c>
      <c r="X6" s="717">
        <v>1.04</v>
      </c>
      <c r="Y6" s="717">
        <v>1.03</v>
      </c>
      <c r="Z6" s="717">
        <v>1.05</v>
      </c>
      <c r="AA6" s="717">
        <v>1.05</v>
      </c>
      <c r="AB6" s="717">
        <v>1.05</v>
      </c>
      <c r="AC6" s="717">
        <v>1.05</v>
      </c>
    </row>
    <row r="7" spans="2:64">
      <c r="T7" s="723"/>
      <c r="U7" s="724"/>
      <c r="V7" s="261"/>
      <c r="W7" s="261"/>
      <c r="X7" s="261"/>
      <c r="Y7" s="261"/>
      <c r="Z7" s="261"/>
      <c r="AA7" s="261"/>
      <c r="AB7" s="261"/>
      <c r="AC7" s="261"/>
    </row>
    <row r="8" spans="2:64">
      <c r="B8" s="308" t="s">
        <v>483</v>
      </c>
      <c r="I8" s="717">
        <f t="shared" ref="I8:Q8" si="0">J8</f>
        <v>0.9</v>
      </c>
      <c r="J8" s="717">
        <f t="shared" si="0"/>
        <v>0.9</v>
      </c>
      <c r="K8" s="717">
        <f t="shared" si="0"/>
        <v>0.9</v>
      </c>
      <c r="L8" s="717">
        <f t="shared" si="0"/>
        <v>0.9</v>
      </c>
      <c r="M8" s="717">
        <f t="shared" si="0"/>
        <v>0.9</v>
      </c>
      <c r="N8" s="717">
        <f t="shared" si="0"/>
        <v>0.9</v>
      </c>
      <c r="O8" s="717">
        <f t="shared" si="0"/>
        <v>0.9</v>
      </c>
      <c r="P8" s="717">
        <f t="shared" si="0"/>
        <v>0.9</v>
      </c>
      <c r="Q8" s="717">
        <f t="shared" si="0"/>
        <v>0.9</v>
      </c>
      <c r="R8" s="717">
        <f>S8</f>
        <v>0.9</v>
      </c>
      <c r="S8" s="717">
        <v>0.9</v>
      </c>
      <c r="T8" s="724">
        <v>0.9</v>
      </c>
      <c r="U8" s="724">
        <v>0.9</v>
      </c>
      <c r="V8" s="716">
        <v>0.9</v>
      </c>
      <c r="W8" s="716">
        <v>0.9</v>
      </c>
      <c r="X8" s="716">
        <v>0.9</v>
      </c>
      <c r="Y8" s="716">
        <v>0.9</v>
      </c>
      <c r="Z8" s="716">
        <v>0.9</v>
      </c>
      <c r="AA8" s="716">
        <v>0.9</v>
      </c>
      <c r="AB8" s="716">
        <v>0.9</v>
      </c>
      <c r="AC8" s="716">
        <v>0.9</v>
      </c>
    </row>
    <row r="12" spans="2:64" ht="14.45" hidden="1" customHeight="1"/>
    <row r="13" spans="2:64" ht="14.45" hidden="1" customHeight="1"/>
    <row r="14" spans="2:64" ht="14.45" hidden="1" customHeight="1"/>
    <row r="15" spans="2:64" ht="14.45" hidden="1" customHeight="1"/>
    <row r="16" spans="2:64" ht="14.45" hidden="1" customHeight="1"/>
    <row r="17" spans="2:64" ht="14.45" hidden="1" customHeight="1"/>
    <row r="18" spans="2:64" ht="14.65" thickBot="1">
      <c r="B18" s="197" t="s">
        <v>167</v>
      </c>
      <c r="C18" s="284"/>
      <c r="D18" s="285"/>
      <c r="E18" s="285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  <c r="AA18" s="285"/>
      <c r="AB18" s="285"/>
      <c r="AC18" s="285"/>
      <c r="AD18" s="285"/>
      <c r="AE18" s="285"/>
      <c r="AF18" s="285"/>
      <c r="AG18" s="285"/>
      <c r="AH18" s="285"/>
      <c r="AI18" s="285"/>
      <c r="AJ18" s="285"/>
      <c r="AK18" s="285"/>
      <c r="AL18" s="285"/>
      <c r="AM18" s="285"/>
      <c r="AN18" s="285"/>
      <c r="AO18" s="285"/>
      <c r="AP18" s="285"/>
      <c r="AQ18" s="285"/>
      <c r="AR18" s="285"/>
      <c r="AS18" s="285"/>
      <c r="AT18" s="285"/>
      <c r="AU18" s="285"/>
      <c r="AV18" s="285"/>
      <c r="AW18" s="285"/>
      <c r="AX18" s="285"/>
      <c r="AY18" s="285"/>
      <c r="AZ18" s="285"/>
      <c r="BA18" s="285"/>
      <c r="BB18" s="285"/>
      <c r="BC18" s="285"/>
      <c r="BD18" s="285"/>
      <c r="BE18" s="285"/>
      <c r="BF18" s="285"/>
      <c r="BG18" s="285"/>
      <c r="BH18" s="285"/>
      <c r="BI18" s="285"/>
      <c r="BJ18" s="285"/>
      <c r="BK18" s="285"/>
      <c r="BL18" s="285"/>
    </row>
    <row r="19" spans="2:64">
      <c r="B19" s="654"/>
      <c r="C19" s="654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655"/>
      <c r="AB19" s="655"/>
      <c r="AC19" s="655"/>
      <c r="AD19" s="655"/>
      <c r="AE19" s="655"/>
      <c r="AF19" s="655"/>
      <c r="AG19" s="655"/>
      <c r="AH19" s="655"/>
      <c r="AI19" s="655"/>
      <c r="AJ19" s="655"/>
      <c r="AK19" s="655"/>
      <c r="AL19" s="655"/>
      <c r="AM19" s="655"/>
      <c r="AN19" s="655"/>
      <c r="AO19" s="655"/>
      <c r="AP19" s="655"/>
      <c r="AQ19" s="655"/>
      <c r="AR19" s="655"/>
      <c r="AS19" s="655"/>
      <c r="AT19" s="655"/>
      <c r="AU19" s="655"/>
      <c r="AV19" s="655"/>
      <c r="AW19" s="655"/>
      <c r="AX19" s="655"/>
      <c r="AY19" s="655"/>
      <c r="AZ19" s="655"/>
      <c r="BA19" s="655"/>
      <c r="BB19" s="655"/>
      <c r="BC19" s="655"/>
      <c r="BD19" s="655"/>
      <c r="BE19" s="655"/>
      <c r="BF19" s="655"/>
      <c r="BG19" s="655"/>
      <c r="BH19" s="655"/>
      <c r="BI19" s="655"/>
      <c r="BJ19" s="655"/>
      <c r="BK19" s="655"/>
      <c r="BL19" s="655"/>
    </row>
  </sheetData>
  <mergeCells count="5">
    <mergeCell ref="R3:U3"/>
    <mergeCell ref="N3:Q3"/>
    <mergeCell ref="V3:Y3"/>
    <mergeCell ref="J3:M3"/>
    <mergeCell ref="Z3:AC3"/>
  </mergeCells>
  <pageMargins left="0.7" right="0.7" top="0.75" bottom="0.75" header="0.3" footer="0.3"/>
  <pageSetup scale="35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A9F7-41D7-4FAD-B0E8-219DE973E1BC}">
  <dimension ref="D1:S35"/>
  <sheetViews>
    <sheetView showGridLines="0" view="pageBreakPreview" topLeftCell="B12" zoomScaleNormal="100" zoomScaleSheetLayoutView="100" workbookViewId="0">
      <selection activeCell="B12" sqref="B12"/>
    </sheetView>
  </sheetViews>
  <sheetFormatPr defaultRowHeight="14.25"/>
  <cols>
    <col min="1" max="1" width="0" hidden="1" customWidth="1"/>
    <col min="4" max="4" width="32.73046875" bestFit="1" customWidth="1"/>
    <col min="5" max="7" width="8.73046875" customWidth="1"/>
    <col min="8" max="8" width="17.265625" customWidth="1"/>
    <col min="12" max="12" width="10.86328125" bestFit="1" customWidth="1"/>
    <col min="16" max="16" width="9.86328125" bestFit="1" customWidth="1"/>
  </cols>
  <sheetData>
    <row r="1" spans="4:19" hidden="1"/>
    <row r="2" spans="4:19" hidden="1"/>
    <row r="3" spans="4:19" hidden="1"/>
    <row r="4" spans="4:19" hidden="1"/>
    <row r="5" spans="4:19" hidden="1"/>
    <row r="6" spans="4:19" hidden="1"/>
    <row r="7" spans="4:19" hidden="1"/>
    <row r="8" spans="4:19" hidden="1"/>
    <row r="9" spans="4:19" hidden="1"/>
    <row r="10" spans="4:19" hidden="1"/>
    <row r="11" spans="4:19" hidden="1"/>
    <row r="14" spans="4:19">
      <c r="D14" s="753" t="s">
        <v>540</v>
      </c>
      <c r="E14" s="753"/>
      <c r="F14" s="753"/>
      <c r="G14" s="753"/>
      <c r="H14" s="753"/>
      <c r="L14" s="754" t="s">
        <v>523</v>
      </c>
      <c r="M14" s="755"/>
      <c r="N14" s="754"/>
      <c r="O14" s="755"/>
      <c r="P14" s="754" t="s">
        <v>68</v>
      </c>
      <c r="Q14" s="755"/>
      <c r="R14" s="754"/>
      <c r="S14" s="755"/>
    </row>
    <row r="15" spans="4:19">
      <c r="D15" s="780" t="s">
        <v>541</v>
      </c>
      <c r="E15" s="756" t="s">
        <v>539</v>
      </c>
      <c r="F15" s="756" t="s">
        <v>546</v>
      </c>
      <c r="G15" s="756" t="s">
        <v>545</v>
      </c>
      <c r="H15" s="756" t="s">
        <v>375</v>
      </c>
      <c r="L15" s="757" t="s">
        <v>83</v>
      </c>
      <c r="M15" s="758" t="s">
        <v>526</v>
      </c>
      <c r="N15" s="758" t="s">
        <v>527</v>
      </c>
      <c r="O15" s="759" t="s">
        <v>528</v>
      </c>
      <c r="P15" s="757" t="s">
        <v>83</v>
      </c>
      <c r="Q15" s="758" t="s">
        <v>526</v>
      </c>
      <c r="R15" s="758" t="s">
        <v>527</v>
      </c>
      <c r="S15" s="759" t="s">
        <v>528</v>
      </c>
    </row>
    <row r="16" spans="4:19">
      <c r="D16" s="308" t="s">
        <v>3</v>
      </c>
      <c r="E16" s="760">
        <f>L26</f>
        <v>159.191</v>
      </c>
      <c r="F16" s="760">
        <f>L29</f>
        <v>169.88200000000001</v>
      </c>
      <c r="G16" s="761">
        <f>173.2</f>
        <v>173.2</v>
      </c>
      <c r="H16" s="762" t="s">
        <v>547</v>
      </c>
      <c r="I16" s="763">
        <f>172/E16-1</f>
        <v>8.0463091506429274E-2</v>
      </c>
      <c r="L16" s="764"/>
      <c r="M16" s="765"/>
      <c r="N16" s="765"/>
      <c r="O16" s="766"/>
      <c r="P16" s="764"/>
      <c r="Q16" s="765"/>
      <c r="R16" s="765"/>
      <c r="S16" s="766"/>
    </row>
    <row r="17" spans="4:19">
      <c r="D17" s="767" t="s">
        <v>517</v>
      </c>
      <c r="E17" s="712">
        <f>E16/L22-1</f>
        <v>0.10113439856125073</v>
      </c>
      <c r="F17" s="712">
        <f>F16/L25-1</f>
        <v>0.1040833966997472</v>
      </c>
      <c r="G17" s="768">
        <f>G16/E16-1</f>
        <v>8.8001206098334617E-2</v>
      </c>
      <c r="H17" s="769" t="s">
        <v>548</v>
      </c>
      <c r="I17" s="763">
        <f>174/E16-1</f>
        <v>9.3026615826271586E-2</v>
      </c>
      <c r="L17" s="764"/>
      <c r="M17" s="765"/>
      <c r="N17" s="765"/>
      <c r="O17" s="766"/>
      <c r="P17" s="764"/>
      <c r="Q17" s="765"/>
      <c r="R17" s="765"/>
      <c r="S17" s="766"/>
    </row>
    <row r="18" spans="4:19">
      <c r="D18" s="767" t="s">
        <v>516</v>
      </c>
      <c r="E18" s="712">
        <f>E16/L25-1</f>
        <v>3.4601311522288736E-2</v>
      </c>
      <c r="F18" s="712">
        <f>F16/L28-1</f>
        <v>3.5474393826723905E-2</v>
      </c>
      <c r="G18" s="768">
        <f>G16/F16-1</f>
        <v>1.9531204012196657E-2</v>
      </c>
      <c r="H18" s="770"/>
      <c r="I18" s="712"/>
      <c r="L18" s="764"/>
      <c r="M18" s="765"/>
      <c r="N18" s="765"/>
      <c r="O18" s="766"/>
      <c r="P18" s="764"/>
      <c r="Q18" s="765"/>
      <c r="R18" s="765"/>
      <c r="S18" s="766"/>
    </row>
    <row r="19" spans="4:19">
      <c r="G19" s="771"/>
      <c r="H19" s="770"/>
      <c r="K19" t="s">
        <v>529</v>
      </c>
      <c r="L19" s="764">
        <f>IS!$BG$9/1000</f>
        <v>130.68299999999999</v>
      </c>
      <c r="M19" s="765">
        <v>131</v>
      </c>
      <c r="N19" s="765">
        <f t="shared" ref="N19:N28" si="0">L19-M19</f>
        <v>-0.31700000000000728</v>
      </c>
      <c r="O19" s="766">
        <f t="shared" ref="O19:O28" si="1">N19/M19</f>
        <v>-2.4198473282443303E-3</v>
      </c>
      <c r="P19" s="775">
        <f>IS!$BG$59</f>
        <v>1.0930473333510313</v>
      </c>
      <c r="Q19" s="776">
        <v>0.97</v>
      </c>
      <c r="R19" s="776">
        <f t="shared" ref="R19:R28" si="2">P19-Q19</f>
        <v>0.12304733335103135</v>
      </c>
      <c r="S19" s="766">
        <f t="shared" ref="S19:S28" si="3">R19/Q19</f>
        <v>0.12685292098044471</v>
      </c>
    </row>
    <row r="20" spans="4:19">
      <c r="D20" t="s">
        <v>530</v>
      </c>
      <c r="E20" s="765">
        <f>N26</f>
        <v>1.6910000000000025</v>
      </c>
      <c r="F20" s="765">
        <f>N29</f>
        <v>2.382000000000005</v>
      </c>
      <c r="G20" s="771"/>
      <c r="H20" s="770"/>
      <c r="K20" t="s">
        <v>531</v>
      </c>
      <c r="L20" s="764">
        <f>IS!$BH$9/1000</f>
        <v>137.209</v>
      </c>
      <c r="M20" s="765">
        <v>136.19999999999999</v>
      </c>
      <c r="N20" s="765">
        <f t="shared" si="0"/>
        <v>1.0090000000000146</v>
      </c>
      <c r="O20" s="766">
        <f t="shared" si="1"/>
        <v>7.4082232011748505E-3</v>
      </c>
      <c r="P20" s="775">
        <f>IS!$BH$59</f>
        <v>1.2676639508481369</v>
      </c>
      <c r="Q20" s="776">
        <v>1.03</v>
      </c>
      <c r="R20" s="776">
        <f t="shared" si="2"/>
        <v>0.23766395084813685</v>
      </c>
      <c r="S20" s="766">
        <f t="shared" si="3"/>
        <v>0.23074169985256004</v>
      </c>
    </row>
    <row r="21" spans="4:19">
      <c r="D21" t="s">
        <v>532</v>
      </c>
      <c r="E21" s="712">
        <f>O26</f>
        <v>1.0736507936507952E-2</v>
      </c>
      <c r="F21" s="712">
        <f>O29</f>
        <v>1.422089552238809E-2</v>
      </c>
      <c r="G21" s="771"/>
      <c r="H21" s="770"/>
      <c r="K21" t="s">
        <v>533</v>
      </c>
      <c r="L21" s="764">
        <f>IS!$BI$9/1000</f>
        <v>141.99600000000001</v>
      </c>
      <c r="M21" s="765">
        <v>141.5</v>
      </c>
      <c r="N21" s="765">
        <f t="shared" si="0"/>
        <v>0.49600000000000932</v>
      </c>
      <c r="O21" s="766">
        <f t="shared" si="1"/>
        <v>3.5053003533569564E-3</v>
      </c>
      <c r="P21" s="775">
        <f>IS!$BI$59</f>
        <v>1.5135654774620808</v>
      </c>
      <c r="Q21" s="776">
        <v>1.1499999999999999</v>
      </c>
      <c r="R21" s="776">
        <f t="shared" si="2"/>
        <v>0.3635654774620809</v>
      </c>
      <c r="S21" s="766">
        <f t="shared" si="3"/>
        <v>0.31614389344528776</v>
      </c>
    </row>
    <row r="22" spans="4:19">
      <c r="G22" s="771"/>
      <c r="H22" s="770"/>
      <c r="K22" t="s">
        <v>534</v>
      </c>
      <c r="L22" s="764">
        <f>IS!$BJ$9/1000</f>
        <v>144.57</v>
      </c>
      <c r="M22" s="765">
        <v>145.1</v>
      </c>
      <c r="N22" s="765">
        <f t="shared" si="0"/>
        <v>-0.53000000000000114</v>
      </c>
      <c r="O22" s="766">
        <f t="shared" si="1"/>
        <v>-3.6526533425224063E-3</v>
      </c>
      <c r="P22" s="775">
        <f>IS!$BJ$59</f>
        <v>1.3997297870085832</v>
      </c>
      <c r="Q22" s="776">
        <v>1.28</v>
      </c>
      <c r="R22" s="776">
        <f t="shared" si="2"/>
        <v>0.11972978700858317</v>
      </c>
      <c r="S22" s="766">
        <f t="shared" si="3"/>
        <v>9.3538896100455599E-2</v>
      </c>
    </row>
    <row r="23" spans="4:19">
      <c r="D23" t="s">
        <v>535</v>
      </c>
      <c r="G23" s="772">
        <f>AVERAGE(N26:N29)</f>
        <v>1.7085000000000079</v>
      </c>
      <c r="H23" s="770"/>
      <c r="K23" t="s">
        <v>536</v>
      </c>
      <c r="L23" s="764">
        <f>IS!$BL$9/1000</f>
        <v>145.80500000000001</v>
      </c>
      <c r="M23" s="765">
        <v>146.5</v>
      </c>
      <c r="N23" s="765">
        <f t="shared" si="0"/>
        <v>-0.69499999999999318</v>
      </c>
      <c r="O23" s="766">
        <f t="shared" si="1"/>
        <v>-4.7440273037542193E-3</v>
      </c>
      <c r="P23" s="775">
        <f>IS!$BL$59</f>
        <v>1.4510510828937253</v>
      </c>
      <c r="Q23" s="776">
        <v>1.35</v>
      </c>
      <c r="R23" s="776">
        <f t="shared" si="2"/>
        <v>0.10105108289372522</v>
      </c>
      <c r="S23" s="766">
        <f t="shared" si="3"/>
        <v>7.4852653995352014E-2</v>
      </c>
    </row>
    <row r="24" spans="4:19">
      <c r="D24" t="s">
        <v>537</v>
      </c>
      <c r="G24" s="768">
        <f>AVERAGE(O26:O29)</f>
        <v>1.0538784321047641E-2</v>
      </c>
      <c r="H24" s="770"/>
      <c r="K24" t="s">
        <v>524</v>
      </c>
      <c r="L24" s="764">
        <f>IS!$BM$9/1000</f>
        <v>148.708</v>
      </c>
      <c r="M24" s="765">
        <v>149.5</v>
      </c>
      <c r="N24" s="765">
        <f t="shared" si="0"/>
        <v>-0.79200000000000159</v>
      </c>
      <c r="O24" s="766">
        <f t="shared" si="1"/>
        <v>-5.2976588628762646E-3</v>
      </c>
      <c r="P24" s="775">
        <f>IS!$BM$59</f>
        <v>1.519111680546658</v>
      </c>
      <c r="Q24" s="776">
        <v>1.35</v>
      </c>
      <c r="R24" s="776">
        <f t="shared" si="2"/>
        <v>0.16911168054665793</v>
      </c>
      <c r="S24" s="766">
        <f t="shared" si="3"/>
        <v>0.12526791151604291</v>
      </c>
    </row>
    <row r="25" spans="4:19">
      <c r="G25" s="771"/>
      <c r="H25" s="770"/>
      <c r="K25" t="s">
        <v>538</v>
      </c>
      <c r="L25" s="764">
        <f>IS!$BN$9/1000</f>
        <v>153.86699999999999</v>
      </c>
      <c r="M25" s="765">
        <v>151.80000000000001</v>
      </c>
      <c r="N25" s="765">
        <f t="shared" si="0"/>
        <v>2.0669999999999789</v>
      </c>
      <c r="O25" s="766">
        <f t="shared" si="1"/>
        <v>1.3616600790513694E-2</v>
      </c>
      <c r="P25" s="775">
        <f>IS!$BN$59</f>
        <v>1.5610458853942266</v>
      </c>
      <c r="Q25" s="776">
        <v>1.36</v>
      </c>
      <c r="R25" s="776">
        <f t="shared" si="2"/>
        <v>0.20104588539422652</v>
      </c>
      <c r="S25" s="766">
        <f t="shared" si="3"/>
        <v>0.14782785690751948</v>
      </c>
    </row>
    <row r="26" spans="4:19">
      <c r="D26" s="308" t="s">
        <v>68</v>
      </c>
      <c r="E26" s="777">
        <f>P26</f>
        <v>1.6045135135135136</v>
      </c>
      <c r="F26" s="777">
        <f>P29</f>
        <v>1.85823712561651</v>
      </c>
      <c r="G26" s="778">
        <f>1.78</f>
        <v>1.78</v>
      </c>
      <c r="H26" s="762" t="s">
        <v>549</v>
      </c>
      <c r="I26" s="712">
        <f>1.73/E26-1</f>
        <v>7.8208432294035291E-2</v>
      </c>
      <c r="K26" t="s">
        <v>539</v>
      </c>
      <c r="L26" s="764">
        <f>IS!$BO$9/1000</f>
        <v>159.191</v>
      </c>
      <c r="M26" s="765">
        <v>157.5</v>
      </c>
      <c r="N26" s="765">
        <f t="shared" si="0"/>
        <v>1.6910000000000025</v>
      </c>
      <c r="O26" s="766">
        <f t="shared" si="1"/>
        <v>1.0736507936507952E-2</v>
      </c>
      <c r="P26" s="775">
        <f>IS!$BO$59</f>
        <v>1.6045135135135136</v>
      </c>
      <c r="Q26" s="776">
        <v>1.38</v>
      </c>
      <c r="R26" s="776">
        <f t="shared" si="2"/>
        <v>0.22451351351351367</v>
      </c>
      <c r="S26" s="766">
        <f t="shared" si="3"/>
        <v>0.16269095182138674</v>
      </c>
    </row>
    <row r="27" spans="4:19">
      <c r="D27" s="767" t="s">
        <v>517</v>
      </c>
      <c r="E27" s="712">
        <f>E26/P22-1</f>
        <v>0.14630232806760635</v>
      </c>
      <c r="F27" s="712">
        <f>F26/P25-1</f>
        <v>0.19037956731632577</v>
      </c>
      <c r="G27" s="768">
        <f>G26/E26-1</f>
        <v>0.10937052571293804</v>
      </c>
      <c r="H27" s="769" t="s">
        <v>550</v>
      </c>
      <c r="I27" s="712">
        <f>1.8/E26-1</f>
        <v>0.12183536308049936</v>
      </c>
      <c r="K27" t="s">
        <v>525</v>
      </c>
      <c r="L27" s="764">
        <f>IS!$BQ$9/1000</f>
        <v>159.899</v>
      </c>
      <c r="M27" s="765">
        <v>158.5</v>
      </c>
      <c r="N27" s="765">
        <f t="shared" si="0"/>
        <v>1.3990000000000009</v>
      </c>
      <c r="O27" s="766">
        <f t="shared" si="1"/>
        <v>8.8264984227129396E-3</v>
      </c>
      <c r="P27" s="775">
        <f>IS!$BQ$59</f>
        <v>1.6704817311874729</v>
      </c>
      <c r="Q27" s="776">
        <v>1.5</v>
      </c>
      <c r="R27" s="776">
        <f t="shared" si="2"/>
        <v>0.1704817311874729</v>
      </c>
      <c r="S27" s="766">
        <f t="shared" si="3"/>
        <v>0.11365448745831526</v>
      </c>
    </row>
    <row r="28" spans="4:19">
      <c r="D28" s="767" t="s">
        <v>516</v>
      </c>
      <c r="E28" s="712">
        <f>E26/P25-1</f>
        <v>2.7845195664001565E-2</v>
      </c>
      <c r="F28" s="712">
        <f>F26/P28-1</f>
        <v>0.10862186483678582</v>
      </c>
      <c r="G28" s="768">
        <f>G26/F26-1</f>
        <v>-4.2102875105647808E-2</v>
      </c>
      <c r="H28" s="770"/>
      <c r="K28" t="s">
        <v>543</v>
      </c>
      <c r="L28" s="764">
        <f>IS!$BR$9/1000</f>
        <v>164.06200000000001</v>
      </c>
      <c r="M28" s="765">
        <v>162.69999999999999</v>
      </c>
      <c r="N28" s="765">
        <f t="shared" si="0"/>
        <v>1.3620000000000232</v>
      </c>
      <c r="O28" s="766">
        <f t="shared" si="1"/>
        <v>8.3712354025815821E-3</v>
      </c>
      <c r="P28" s="775">
        <f>IS!$BR$59</f>
        <v>1.676168569785591</v>
      </c>
      <c r="Q28" s="776">
        <v>1.5</v>
      </c>
      <c r="R28" s="776">
        <f t="shared" si="2"/>
        <v>0.17616856978559103</v>
      </c>
      <c r="S28" s="766">
        <f t="shared" si="3"/>
        <v>0.11744571319039403</v>
      </c>
    </row>
    <row r="29" spans="4:19">
      <c r="G29" s="771"/>
      <c r="H29" s="770"/>
      <c r="K29" t="s">
        <v>546</v>
      </c>
      <c r="L29" s="764">
        <f>IS!$BS$9/1000</f>
        <v>169.88200000000001</v>
      </c>
      <c r="M29" s="765">
        <f>167.5</f>
        <v>167.5</v>
      </c>
      <c r="N29" s="765">
        <f t="shared" ref="N29" si="4">L29-M29</f>
        <v>2.382000000000005</v>
      </c>
      <c r="O29" s="802">
        <f t="shared" ref="O29" si="5">N29/M29</f>
        <v>1.422089552238809E-2</v>
      </c>
      <c r="P29" s="775">
        <f>IS!$BS$59</f>
        <v>1.85823712561651</v>
      </c>
      <c r="Q29" s="776">
        <f>1.6</f>
        <v>1.6</v>
      </c>
      <c r="R29" s="776">
        <f t="shared" ref="R29" si="6">P29-Q29</f>
        <v>0.25823712561650991</v>
      </c>
      <c r="S29" s="802">
        <f t="shared" ref="S29" si="7">R29/Q29</f>
        <v>0.16139820351031869</v>
      </c>
    </row>
    <row r="30" spans="4:19">
      <c r="D30" t="s">
        <v>530</v>
      </c>
      <c r="E30" s="776">
        <f>R26</f>
        <v>0.22451351351351367</v>
      </c>
      <c r="F30" s="776">
        <f>R29</f>
        <v>0.25823712561650991</v>
      </c>
      <c r="G30" s="771"/>
      <c r="H30" s="770"/>
      <c r="K30" s="785" t="s">
        <v>545</v>
      </c>
      <c r="L30" s="786">
        <f>IS!$BT$9/1000</f>
        <v>175.28200000000001</v>
      </c>
      <c r="M30" s="787">
        <v>174</v>
      </c>
      <c r="N30" s="787">
        <f t="shared" ref="N30" si="8">L30-M30</f>
        <v>1.2820000000000107</v>
      </c>
      <c r="O30" s="788">
        <f t="shared" ref="O30" si="9">N30/M30</f>
        <v>7.3678160919540842E-3</v>
      </c>
      <c r="P30" s="789">
        <f>IS!$BT$59</f>
        <v>1.8736856668511346</v>
      </c>
      <c r="Q30" s="790">
        <v>1.8</v>
      </c>
      <c r="R30" s="790">
        <f t="shared" ref="R30" si="10">P30-Q30</f>
        <v>7.3685666851134535E-2</v>
      </c>
      <c r="S30" s="788">
        <f t="shared" ref="S30" si="11">R30/Q30</f>
        <v>4.0936481583963631E-2</v>
      </c>
    </row>
    <row r="31" spans="4:19">
      <c r="D31" t="s">
        <v>532</v>
      </c>
      <c r="E31" s="712">
        <f>S26</f>
        <v>0.16269095182138674</v>
      </c>
      <c r="F31" s="712">
        <f>S29</f>
        <v>0.16139820351031869</v>
      </c>
      <c r="G31" s="771"/>
      <c r="H31" s="770"/>
    </row>
    <row r="32" spans="4:19">
      <c r="G32" s="771"/>
      <c r="H32" s="770"/>
    </row>
    <row r="33" spans="4:8">
      <c r="D33" t="s">
        <v>535</v>
      </c>
      <c r="G33" s="779">
        <f>AVERAGE(R26:R29)</f>
        <v>0.20735023502577188</v>
      </c>
      <c r="H33" s="770"/>
    </row>
    <row r="34" spans="4:8">
      <c r="D34" t="s">
        <v>537</v>
      </c>
      <c r="G34" s="773">
        <f>AVERAGE(S26:S29)</f>
        <v>0.13879733899510369</v>
      </c>
      <c r="H34" s="770"/>
    </row>
    <row r="35" spans="4:8">
      <c r="D35" s="774"/>
      <c r="E35" s="774"/>
      <c r="F35" s="774"/>
      <c r="G35" s="774"/>
      <c r="H35" s="774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3C18-46DB-44D5-ACE7-E762F74BFE53}">
  <dimension ref="A3:Q8"/>
  <sheetViews>
    <sheetView workbookViewId="0"/>
  </sheetViews>
  <sheetFormatPr defaultRowHeight="14.25"/>
  <cols>
    <col min="1" max="1" width="18.59765625" bestFit="1" customWidth="1"/>
    <col min="2" max="2" width="11.1328125" bestFit="1" customWidth="1"/>
    <col min="3" max="3" width="10.3984375" bestFit="1" customWidth="1"/>
    <col min="4" max="4" width="10.59765625" bestFit="1" customWidth="1"/>
    <col min="5" max="5" width="10.86328125" bestFit="1" customWidth="1"/>
    <col min="6" max="6" width="11.1328125" bestFit="1" customWidth="1"/>
    <col min="7" max="7" width="10.3984375" bestFit="1" customWidth="1"/>
    <col min="8" max="8" width="10.59765625" bestFit="1" customWidth="1"/>
    <col min="9" max="9" width="10.86328125" bestFit="1" customWidth="1"/>
    <col min="10" max="10" width="11.1328125" bestFit="1" customWidth="1"/>
    <col min="11" max="11" width="10.3984375" bestFit="1" customWidth="1"/>
    <col min="12" max="12" width="10.59765625" bestFit="1" customWidth="1"/>
    <col min="13" max="13" width="10.86328125" bestFit="1" customWidth="1"/>
    <col min="14" max="14" width="11.1328125" bestFit="1" customWidth="1"/>
    <col min="15" max="17" width="10.59765625" bestFit="1" customWidth="1"/>
  </cols>
  <sheetData>
    <row r="3" spans="1:17">
      <c r="B3" s="308" t="s">
        <v>418</v>
      </c>
      <c r="C3" s="308" t="s">
        <v>420</v>
      </c>
      <c r="D3" s="308" t="s">
        <v>425</v>
      </c>
      <c r="E3" s="308" t="s">
        <v>426</v>
      </c>
      <c r="F3" s="308" t="s">
        <v>427</v>
      </c>
      <c r="G3" s="308" t="s">
        <v>429</v>
      </c>
      <c r="H3" s="308" t="s">
        <v>431</v>
      </c>
      <c r="I3" s="308" t="s">
        <v>435</v>
      </c>
      <c r="J3" s="308" t="s">
        <v>441</v>
      </c>
      <c r="K3" s="308" t="s">
        <v>464</v>
      </c>
      <c r="L3" s="308" t="s">
        <v>466</v>
      </c>
      <c r="M3" s="308" t="s">
        <v>467</v>
      </c>
      <c r="N3" s="308" t="s">
        <v>472</v>
      </c>
      <c r="O3" s="308" t="str">
        <f>Channel!BM41</f>
        <v>2Q-Jun 24A</v>
      </c>
      <c r="P3" s="308" t="str">
        <f>Channel!BN41</f>
        <v>3Q-Sep 24A</v>
      </c>
      <c r="Q3" s="308"/>
    </row>
    <row r="5" spans="1:17">
      <c r="A5" t="s">
        <v>341</v>
      </c>
      <c r="B5" s="711">
        <v>57952</v>
      </c>
      <c r="C5" s="711">
        <v>58782</v>
      </c>
      <c r="D5" s="711">
        <v>61554</v>
      </c>
      <c r="E5" s="711">
        <v>62510</v>
      </c>
      <c r="F5" s="711">
        <v>66452</v>
      </c>
      <c r="G5" s="711">
        <v>70176</v>
      </c>
      <c r="H5" s="711">
        <v>73235</v>
      </c>
      <c r="I5" s="711">
        <v>74176.339999999967</v>
      </c>
      <c r="J5" s="711">
        <v>75093</v>
      </c>
      <c r="K5" s="711">
        <v>78818</v>
      </c>
      <c r="L5" s="711">
        <v>80499</v>
      </c>
      <c r="M5" s="711">
        <v>80578</v>
      </c>
      <c r="N5" s="711">
        <v>80126</v>
      </c>
      <c r="O5" s="711">
        <f>Channel!BM43</f>
        <v>80303</v>
      </c>
      <c r="P5" s="711">
        <f>Channel!BN43</f>
        <v>81636</v>
      </c>
      <c r="Q5" s="711"/>
    </row>
    <row r="6" spans="1:17">
      <c r="A6" t="s">
        <v>469</v>
      </c>
      <c r="B6" s="712">
        <v>0.159</v>
      </c>
      <c r="C6" s="712">
        <v>0.13500000000000001</v>
      </c>
      <c r="D6" s="712">
        <v>0.122</v>
      </c>
      <c r="E6" s="712">
        <v>0.123</v>
      </c>
      <c r="F6" s="712">
        <f t="shared" ref="F6:L6" si="0">F5/B5-1</f>
        <v>0.14667310877967976</v>
      </c>
      <c r="G6" s="712">
        <f t="shared" si="0"/>
        <v>0.19383484740226598</v>
      </c>
      <c r="H6" s="712">
        <f t="shared" si="0"/>
        <v>0.18976833349579225</v>
      </c>
      <c r="I6" s="712">
        <f t="shared" si="0"/>
        <v>0.18663157894736782</v>
      </c>
      <c r="J6" s="712">
        <f t="shared" si="0"/>
        <v>0.13003370854150353</v>
      </c>
      <c r="K6" s="712">
        <f t="shared" si="0"/>
        <v>0.12314751481988151</v>
      </c>
      <c r="L6" s="712">
        <f t="shared" si="0"/>
        <v>9.9187546937939519E-2</v>
      </c>
      <c r="M6" s="712">
        <f>M5/I5-1</f>
        <v>8.6303260581474195E-2</v>
      </c>
      <c r="N6" s="712">
        <f t="shared" ref="N6:P6" si="1">N5/J5-1</f>
        <v>6.7023557455421878E-2</v>
      </c>
      <c r="O6" s="712">
        <f t="shared" si="1"/>
        <v>1.8840873912050471E-2</v>
      </c>
      <c r="P6" s="712">
        <f t="shared" si="1"/>
        <v>1.412439906085794E-2</v>
      </c>
      <c r="Q6" s="712"/>
    </row>
    <row r="7" spans="1:17">
      <c r="A7" t="s">
        <v>470</v>
      </c>
      <c r="B7" s="711">
        <v>38804</v>
      </c>
      <c r="C7" s="711">
        <v>40920</v>
      </c>
      <c r="D7" s="711">
        <v>43380</v>
      </c>
      <c r="E7" s="711">
        <v>47270</v>
      </c>
      <c r="F7" s="711">
        <v>46968</v>
      </c>
      <c r="G7" s="711">
        <v>49717</v>
      </c>
      <c r="H7" s="711">
        <v>52326</v>
      </c>
      <c r="I7" s="711">
        <v>56672.66</v>
      </c>
      <c r="J7" s="711">
        <v>55590</v>
      </c>
      <c r="K7" s="711">
        <v>58391</v>
      </c>
      <c r="L7" s="711">
        <v>61497</v>
      </c>
      <c r="M7" s="711">
        <v>63992</v>
      </c>
      <c r="N7" s="711">
        <v>65679</v>
      </c>
      <c r="O7" s="711">
        <f>Channel!BM44</f>
        <v>68405</v>
      </c>
      <c r="P7" s="711">
        <f>Channel!BN44</f>
        <v>72231</v>
      </c>
      <c r="Q7" s="711"/>
    </row>
    <row r="8" spans="1:17">
      <c r="A8" t="s">
        <v>471</v>
      </c>
      <c r="B8" s="712">
        <v>7.0000000000000007E-2</v>
      </c>
      <c r="C8" s="712">
        <v>0.105</v>
      </c>
      <c r="D8" s="712">
        <v>0.13400000000000001</v>
      </c>
      <c r="E8" s="712">
        <v>0.20799999999999999</v>
      </c>
      <c r="F8" s="712">
        <f t="shared" ref="F8:L8" si="2">F7/B7-1</f>
        <v>0.21039068137305428</v>
      </c>
      <c r="G8" s="712">
        <f t="shared" si="2"/>
        <v>0.21498044965786911</v>
      </c>
      <c r="H8" s="712">
        <f t="shared" si="2"/>
        <v>0.20622406639004143</v>
      </c>
      <c r="I8" s="712">
        <f t="shared" si="2"/>
        <v>0.19891389887878153</v>
      </c>
      <c r="J8" s="712">
        <f t="shared" si="2"/>
        <v>0.18357179356157394</v>
      </c>
      <c r="K8" s="712">
        <f t="shared" si="2"/>
        <v>0.17446748597059347</v>
      </c>
      <c r="L8" s="712">
        <f t="shared" si="2"/>
        <v>0.17526659786721699</v>
      </c>
      <c r="M8" s="712">
        <f>M7/I7-1</f>
        <v>0.12915116389454795</v>
      </c>
      <c r="N8" s="712">
        <f t="shared" ref="N8:P8" si="3">N7/J7-1</f>
        <v>0.18148947652455472</v>
      </c>
      <c r="O8" s="712">
        <f t="shared" si="3"/>
        <v>0.17149903238512776</v>
      </c>
      <c r="P8" s="712">
        <f t="shared" si="3"/>
        <v>0.17454509976096388</v>
      </c>
      <c r="Q8" s="712"/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theme="0" tint="-0.499984740745262"/>
  </sheetPr>
  <dimension ref="B2:BL83"/>
  <sheetViews>
    <sheetView showGridLines="0" view="pageBreakPreview" zoomScale="85" zoomScaleNormal="100" zoomScaleSheetLayoutView="85" workbookViewId="0"/>
  </sheetViews>
  <sheetFormatPr defaultColWidth="9.3984375" defaultRowHeight="12.75" outlineLevelRow="1" outlineLevelCol="2"/>
  <cols>
    <col min="1" max="1" width="1.3984375" style="126" customWidth="1"/>
    <col min="2" max="2" width="24.3984375" style="126" customWidth="1"/>
    <col min="3" max="3" width="17.3984375" style="126" customWidth="1"/>
    <col min="4" max="7" width="12.3984375" style="126" hidden="1" customWidth="1" outlineLevel="2"/>
    <col min="8" max="8" width="10" style="126" hidden="1" customWidth="1" outlineLevel="1" collapsed="1"/>
    <col min="9" max="12" width="12.3984375" style="126" hidden="1" customWidth="1" outlineLevel="2"/>
    <col min="13" max="13" width="10" style="126" hidden="1" customWidth="1" outlineLevel="1" collapsed="1"/>
    <col min="14" max="17" width="12.3984375" style="126" hidden="1" customWidth="1" outlineLevel="2"/>
    <col min="18" max="18" width="10" style="126" hidden="1" customWidth="1" collapsed="1"/>
    <col min="19" max="22" width="12.3984375" style="126" hidden="1" customWidth="1" outlineLevel="1"/>
    <col min="23" max="23" width="10" style="126" hidden="1" customWidth="1" collapsed="1"/>
    <col min="24" max="27" width="12.3984375" style="126" hidden="1" customWidth="1" outlineLevel="1"/>
    <col min="28" max="28" width="10" style="126" hidden="1" customWidth="1" collapsed="1"/>
    <col min="29" max="32" width="12.3984375" style="126" hidden="1" customWidth="1" outlineLevel="1"/>
    <col min="33" max="33" width="10" style="126" hidden="1" customWidth="1" collapsed="1"/>
    <col min="34" max="35" width="12" style="126" hidden="1" customWidth="1" outlineLevel="1"/>
    <col min="36" max="37" width="12.3984375" style="126" hidden="1" customWidth="1" outlineLevel="1"/>
    <col min="38" max="38" width="10" style="126" hidden="1" customWidth="1" collapsed="1"/>
    <col min="39" max="40" width="12" style="126" customWidth="1" outlineLevel="1"/>
    <col min="41" max="42" width="12.3984375" style="126" customWidth="1" outlineLevel="1"/>
    <col min="43" max="43" width="10" style="126" bestFit="1" customWidth="1"/>
    <col min="44" max="45" width="12" style="126" customWidth="1" outlineLevel="1"/>
    <col min="46" max="47" width="12.3984375" style="126" customWidth="1" outlineLevel="1"/>
    <col min="48" max="48" width="10" style="126" bestFit="1" customWidth="1"/>
    <col min="49" max="50" width="12" style="126" hidden="1" customWidth="1" outlineLevel="1"/>
    <col min="51" max="52" width="12.3984375" style="126" hidden="1" customWidth="1" outlineLevel="1"/>
    <col min="53" max="53" width="10" style="126" bestFit="1" customWidth="1" collapsed="1"/>
    <col min="54" max="55" width="12" style="126" hidden="1" customWidth="1" outlineLevel="1"/>
    <col min="56" max="57" width="12.3984375" style="126" hidden="1" customWidth="1" outlineLevel="1"/>
    <col min="58" max="58" width="10" style="126" bestFit="1" customWidth="1" collapsed="1"/>
    <col min="59" max="16384" width="9.3984375" style="126"/>
  </cols>
  <sheetData>
    <row r="2" spans="2:58" ht="13.15" thickBot="1">
      <c r="B2" s="640"/>
      <c r="C2" s="640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41"/>
      <c r="Y2" s="641"/>
      <c r="Z2" s="641"/>
      <c r="AA2" s="641"/>
      <c r="AB2" s="641"/>
      <c r="AC2" s="641"/>
      <c r="AD2" s="641"/>
      <c r="AE2" s="641"/>
      <c r="AF2" s="641"/>
      <c r="AG2" s="641"/>
      <c r="AH2" s="641"/>
      <c r="AI2" s="641"/>
      <c r="AJ2" s="641"/>
      <c r="AK2" s="641"/>
      <c r="AL2" s="641"/>
      <c r="AM2" s="641"/>
      <c r="AN2" s="641"/>
      <c r="AO2" s="641"/>
      <c r="AP2" s="641"/>
      <c r="AQ2" s="641"/>
      <c r="AR2" s="641"/>
      <c r="AS2" s="641"/>
      <c r="AT2" s="641"/>
      <c r="AU2" s="641"/>
      <c r="AV2" s="641"/>
      <c r="AW2" s="641"/>
      <c r="AX2" s="641"/>
      <c r="AY2" s="641"/>
      <c r="AZ2" s="641"/>
      <c r="BA2" s="641"/>
      <c r="BB2" s="641"/>
      <c r="BC2" s="641"/>
      <c r="BD2" s="641"/>
      <c r="BE2" s="641"/>
      <c r="BF2" s="641"/>
    </row>
    <row r="3" spans="2:58" ht="17.649999999999999">
      <c r="B3" s="264" t="s">
        <v>238</v>
      </c>
      <c r="C3" s="127"/>
    </row>
    <row r="4" spans="2:58" s="150" customFormat="1" ht="13.15">
      <c r="B4" s="265"/>
      <c r="C4" s="265"/>
      <c r="D4" s="266"/>
      <c r="E4" s="267"/>
      <c r="F4" s="268"/>
      <c r="G4" s="268"/>
      <c r="H4" s="269"/>
      <c r="I4" s="266"/>
      <c r="J4" s="267"/>
      <c r="K4" s="268"/>
      <c r="L4" s="268"/>
      <c r="M4" s="269"/>
      <c r="N4" s="266"/>
      <c r="O4" s="267"/>
      <c r="P4" s="268"/>
      <c r="Q4" s="268"/>
      <c r="R4" s="269"/>
      <c r="S4" s="266"/>
      <c r="T4" s="267"/>
      <c r="U4" s="268"/>
      <c r="V4" s="268"/>
      <c r="W4" s="269"/>
      <c r="X4" s="266"/>
      <c r="Y4" s="267"/>
      <c r="Z4" s="268"/>
      <c r="AA4" s="268"/>
      <c r="AB4" s="269"/>
    </row>
    <row r="5" spans="2:58" s="150" customFormat="1" ht="13.15">
      <c r="B5" s="270"/>
      <c r="C5" s="270"/>
      <c r="D5" s="208" t="str">
        <f>+IS!D5</f>
        <v>2012A</v>
      </c>
      <c r="E5" s="209"/>
      <c r="F5" s="210"/>
      <c r="G5" s="210"/>
      <c r="H5" s="211" t="s">
        <v>239</v>
      </c>
      <c r="I5" s="208" t="str">
        <f>+IS!I5</f>
        <v>2013A</v>
      </c>
      <c r="J5" s="209"/>
      <c r="K5" s="210"/>
      <c r="L5" s="210"/>
      <c r="M5" s="211" t="s">
        <v>239</v>
      </c>
      <c r="N5" s="208" t="str">
        <f>+IS!N5</f>
        <v>2014A</v>
      </c>
      <c r="O5" s="209"/>
      <c r="P5" s="210"/>
      <c r="Q5" s="210"/>
      <c r="R5" s="519" t="s">
        <v>239</v>
      </c>
      <c r="S5" s="208" t="str">
        <f>+IS!S5</f>
        <v>2015A</v>
      </c>
      <c r="T5" s="209"/>
      <c r="U5" s="210"/>
      <c r="V5" s="210"/>
      <c r="W5" s="519" t="s">
        <v>239</v>
      </c>
      <c r="X5" s="208" t="str">
        <f>+IS!X5</f>
        <v>2016A</v>
      </c>
      <c r="Y5" s="209"/>
      <c r="Z5" s="210"/>
      <c r="AA5" s="210"/>
      <c r="AB5" s="519" t="s">
        <v>239</v>
      </c>
      <c r="AC5" s="208" t="str">
        <f>+IS!AC5</f>
        <v>2017A</v>
      </c>
      <c r="AD5" s="209"/>
      <c r="AE5" s="210"/>
      <c r="AF5" s="210"/>
      <c r="AG5" s="519" t="s">
        <v>239</v>
      </c>
      <c r="AH5" s="208" t="str">
        <f>+IS!AH5</f>
        <v>2018A</v>
      </c>
      <c r="AI5" s="209"/>
      <c r="AJ5" s="210"/>
      <c r="AK5" s="210"/>
      <c r="AL5" s="519" t="s">
        <v>239</v>
      </c>
      <c r="AM5" s="208" t="str">
        <f>+IS!AM5</f>
        <v>2019A</v>
      </c>
      <c r="AN5" s="209"/>
      <c r="AO5" s="210"/>
      <c r="AP5" s="210"/>
      <c r="AQ5" s="519" t="s">
        <v>239</v>
      </c>
      <c r="AR5" s="208" t="str">
        <f>+IS!AR5</f>
        <v>2020A</v>
      </c>
      <c r="AS5" s="209"/>
      <c r="AT5" s="210"/>
      <c r="AU5" s="210"/>
      <c r="AV5" s="519" t="s">
        <v>239</v>
      </c>
      <c r="AW5" s="208" t="str">
        <f>+IS!AW5</f>
        <v>2021A</v>
      </c>
      <c r="AX5" s="209"/>
      <c r="AY5" s="210"/>
      <c r="AZ5" s="210"/>
      <c r="BA5" s="519" t="s">
        <v>239</v>
      </c>
      <c r="BB5" s="208" t="str">
        <f>+IS!BB5</f>
        <v>2022A</v>
      </c>
      <c r="BC5" s="209"/>
      <c r="BD5" s="210"/>
      <c r="BE5" s="210"/>
      <c r="BF5" s="519" t="s">
        <v>239</v>
      </c>
    </row>
    <row r="6" spans="2:58" s="150" customFormat="1" ht="13.15">
      <c r="B6" s="206" t="s">
        <v>142</v>
      </c>
      <c r="C6" s="270"/>
      <c r="D6" s="211" t="str">
        <f>+IS!D6</f>
        <v>1Q-Mar 12A</v>
      </c>
      <c r="E6" s="211" t="str">
        <f>+IS!E6</f>
        <v>2Q-Jun 12A</v>
      </c>
      <c r="F6" s="211" t="str">
        <f>+IS!F6</f>
        <v>3Q-Sep 12A</v>
      </c>
      <c r="G6" s="211" t="str">
        <f>+IS!G6</f>
        <v>4Q-Dec 12A</v>
      </c>
      <c r="H6" s="211" t="str">
        <f>+IS!H6</f>
        <v>2012A</v>
      </c>
      <c r="I6" s="211" t="str">
        <f>+IS!I6</f>
        <v>1Q-Mar 13A</v>
      </c>
      <c r="J6" s="211" t="str">
        <f>+IS!J6</f>
        <v>2Q-Jun 13A</v>
      </c>
      <c r="K6" s="211" t="str">
        <f>+IS!K6</f>
        <v>3Q-Sep 13A</v>
      </c>
      <c r="L6" s="211" t="str">
        <f>+IS!L6</f>
        <v>4Q-Dec 13A</v>
      </c>
      <c r="M6" s="211" t="str">
        <f>+IS!M6</f>
        <v>2013A</v>
      </c>
      <c r="N6" s="211" t="str">
        <f>+IS!N6</f>
        <v>1Q-Mar 14A</v>
      </c>
      <c r="O6" s="211" t="str">
        <f>+IS!O6</f>
        <v>2Q-Jun 14A</v>
      </c>
      <c r="P6" s="211" t="str">
        <f>+IS!P6</f>
        <v>3Q-Sep 14A</v>
      </c>
      <c r="Q6" s="211" t="str">
        <f>+IS!Q6</f>
        <v>4Q-Dec 14A</v>
      </c>
      <c r="R6" s="519" t="str">
        <f>+IS!R6</f>
        <v>2014A</v>
      </c>
      <c r="S6" s="211" t="str">
        <f>+IS!S6</f>
        <v>1Q-Mar 15A</v>
      </c>
      <c r="T6" s="211" t="str">
        <f>+IS!T6</f>
        <v>2Q-Jun 15A</v>
      </c>
      <c r="U6" s="211" t="str">
        <f>+IS!U6</f>
        <v>3Q-Sep 15A</v>
      </c>
      <c r="V6" s="211" t="str">
        <f>+IS!V6</f>
        <v>4Q-Dec 15A</v>
      </c>
      <c r="W6" s="519" t="str">
        <f>+IS!W6</f>
        <v>2015A</v>
      </c>
      <c r="X6" s="211" t="str">
        <f>+IS!X6</f>
        <v>1Q-Mar 16A</v>
      </c>
      <c r="Y6" s="211" t="str">
        <f>+IS!Y6</f>
        <v>2Q-Jun 16A</v>
      </c>
      <c r="Z6" s="211" t="str">
        <f>+IS!Z6</f>
        <v>3Q-Sep 16A</v>
      </c>
      <c r="AA6" s="211" t="str">
        <f>+IS!AA6</f>
        <v>4Q-Dec 16A</v>
      </c>
      <c r="AB6" s="519" t="str">
        <f>+IS!AB6</f>
        <v>2016A</v>
      </c>
      <c r="AC6" s="211" t="str">
        <f>+IS!AC6</f>
        <v>1Q-Mar 17A</v>
      </c>
      <c r="AD6" s="211" t="str">
        <f>+IS!AD6</f>
        <v>2Q-Jun 17A</v>
      </c>
      <c r="AE6" s="211" t="str">
        <f>+IS!AE6</f>
        <v>3Q-Sep 17A</v>
      </c>
      <c r="AF6" s="211" t="str">
        <f>+IS!AF6</f>
        <v>4Q-Dec 17A</v>
      </c>
      <c r="AG6" s="519" t="str">
        <f>+IS!AG6</f>
        <v>2017A</v>
      </c>
      <c r="AH6" s="211" t="str">
        <f>+IS!AH6</f>
        <v>1Q-Mar 18A</v>
      </c>
      <c r="AI6" s="211" t="str">
        <f>+IS!AI6</f>
        <v>2Q-Jun 18A</v>
      </c>
      <c r="AJ6" s="211" t="str">
        <f>+IS!AJ6</f>
        <v>3Q-Sep 18A</v>
      </c>
      <c r="AK6" s="211" t="str">
        <f>+IS!AK6</f>
        <v>4Q-Dec 18A</v>
      </c>
      <c r="AL6" s="519" t="str">
        <f>+IS!AL6</f>
        <v>2018A</v>
      </c>
      <c r="AM6" s="211" t="str">
        <f>+IS!AM6</f>
        <v>1Q-Mar 19A</v>
      </c>
      <c r="AN6" s="467" t="str">
        <f>+IS!AN6</f>
        <v>2Q-Jun 19A</v>
      </c>
      <c r="AO6" s="467" t="str">
        <f>+IS!AO6</f>
        <v>3Q-Sep 19A</v>
      </c>
      <c r="AP6" s="211" t="str">
        <f>+IS!AP6</f>
        <v>4Q-Dec 19A</v>
      </c>
      <c r="AQ6" s="519" t="str">
        <f>+IS!AQ6</f>
        <v>2019A</v>
      </c>
      <c r="AR6" s="211" t="str">
        <f>+IS!AR6</f>
        <v>1Q-Mar 20A</v>
      </c>
      <c r="AS6" s="211" t="str">
        <f>+IS!AS6</f>
        <v>2Q-Jun 20A</v>
      </c>
      <c r="AT6" s="211" t="str">
        <f>+IS!AT6</f>
        <v>3Q-Sep 20A</v>
      </c>
      <c r="AU6" s="211" t="str">
        <f>+IS!AU6</f>
        <v>4Q-Dec 20A</v>
      </c>
      <c r="AV6" s="519" t="str">
        <f>+IS!AV6</f>
        <v>2020A</v>
      </c>
      <c r="AW6" s="211" t="str">
        <f>+IS!AW6</f>
        <v>1Q-Mar 21A</v>
      </c>
      <c r="AX6" s="211" t="str">
        <f>+IS!AX6</f>
        <v>2Q-Jun 21A</v>
      </c>
      <c r="AY6" s="211" t="str">
        <f>+IS!AY6</f>
        <v>3Q-Sep 21A</v>
      </c>
      <c r="AZ6" s="211" t="str">
        <f>+IS!AZ6</f>
        <v>4Q-Dec 21A</v>
      </c>
      <c r="BA6" s="519" t="str">
        <f>+IS!BA6</f>
        <v>2021A</v>
      </c>
      <c r="BB6" s="211" t="str">
        <f>+IS!BB6</f>
        <v>1Q-Mar 22A</v>
      </c>
      <c r="BC6" s="211" t="str">
        <f>+IS!BC6</f>
        <v>2Q-Jun 22A</v>
      </c>
      <c r="BD6" s="211" t="str">
        <f>+IS!BD6</f>
        <v>3Q-Sep 22A</v>
      </c>
      <c r="BE6" s="211" t="str">
        <f>+IS!BE6</f>
        <v>4Q-Dec 22A</v>
      </c>
      <c r="BF6" s="519" t="str">
        <f>+IS!BF6</f>
        <v>2022A</v>
      </c>
    </row>
    <row r="7" spans="2:58" s="150" customFormat="1" ht="6" customHeight="1">
      <c r="R7" s="576"/>
      <c r="W7" s="576"/>
      <c r="AB7" s="576"/>
      <c r="AG7" s="576"/>
      <c r="AL7" s="576"/>
      <c r="AN7" s="468"/>
      <c r="AO7" s="468"/>
      <c r="AQ7" s="576"/>
      <c r="AV7" s="576"/>
      <c r="BA7" s="576"/>
      <c r="BF7" s="576"/>
    </row>
    <row r="8" spans="2:58" s="7" customFormat="1" ht="12.75" customHeight="1">
      <c r="B8" s="206" t="s">
        <v>361</v>
      </c>
      <c r="C8" s="206"/>
      <c r="D8" s="262"/>
      <c r="E8" s="262"/>
      <c r="F8" s="262"/>
      <c r="G8" s="262"/>
      <c r="H8" s="227"/>
      <c r="I8" s="262"/>
      <c r="J8" s="262"/>
      <c r="K8" s="262"/>
      <c r="L8" s="262"/>
      <c r="M8" s="227"/>
      <c r="N8" s="262"/>
      <c r="O8" s="262">
        <v>14</v>
      </c>
      <c r="P8" s="262">
        <v>16</v>
      </c>
      <c r="Q8" s="262"/>
      <c r="R8" s="582">
        <v>19</v>
      </c>
      <c r="S8" s="262">
        <v>19</v>
      </c>
      <c r="T8" s="262">
        <v>23</v>
      </c>
      <c r="U8" s="262">
        <v>26</v>
      </c>
      <c r="V8" s="262"/>
      <c r="W8" s="582">
        <v>27</v>
      </c>
      <c r="X8" s="262">
        <v>29</v>
      </c>
      <c r="Y8" s="262">
        <v>31</v>
      </c>
      <c r="Z8" s="262">
        <v>34</v>
      </c>
      <c r="AA8" s="262"/>
      <c r="AB8" s="582">
        <v>38</v>
      </c>
      <c r="AC8" s="262">
        <v>42</v>
      </c>
      <c r="AD8" s="262">
        <v>45</v>
      </c>
      <c r="AE8" s="262">
        <v>47</v>
      </c>
      <c r="AF8" s="262"/>
      <c r="AG8" s="582">
        <v>51</v>
      </c>
      <c r="AH8" s="262">
        <v>57</v>
      </c>
      <c r="AI8" s="262">
        <v>60</v>
      </c>
      <c r="AJ8" s="262">
        <v>67</v>
      </c>
      <c r="AK8" s="262">
        <v>70</v>
      </c>
      <c r="AL8" s="592">
        <f>+AK8</f>
        <v>70</v>
      </c>
      <c r="AM8" s="262">
        <v>75</v>
      </c>
      <c r="AN8" s="262">
        <v>83</v>
      </c>
      <c r="AO8" s="262">
        <v>89</v>
      </c>
      <c r="AP8" s="262">
        <v>93</v>
      </c>
      <c r="AQ8" s="592">
        <f>+AP8</f>
        <v>93</v>
      </c>
      <c r="AR8" s="262">
        <v>96</v>
      </c>
      <c r="AS8" s="262">
        <v>99</v>
      </c>
      <c r="AT8" s="262">
        <f>139</f>
        <v>139</v>
      </c>
      <c r="AU8" s="227"/>
      <c r="AV8" s="592"/>
      <c r="AW8" s="227"/>
      <c r="AX8" s="227"/>
      <c r="AY8" s="227"/>
      <c r="AZ8" s="227"/>
      <c r="BA8" s="592"/>
      <c r="BB8" s="227"/>
      <c r="BC8" s="227"/>
      <c r="BD8" s="227"/>
      <c r="BE8" s="227"/>
      <c r="BF8" s="592"/>
    </row>
    <row r="9" spans="2:58" s="7" customFormat="1">
      <c r="B9" s="206" t="s">
        <v>360</v>
      </c>
      <c r="C9" s="206"/>
      <c r="D9" s="323"/>
      <c r="E9" s="323"/>
      <c r="F9" s="323"/>
      <c r="G9" s="323"/>
      <c r="H9" s="302"/>
      <c r="I9" s="323"/>
      <c r="J9" s="323"/>
      <c r="K9" s="323"/>
      <c r="L9" s="323"/>
      <c r="M9" s="302"/>
      <c r="N9" s="323"/>
      <c r="O9" s="323">
        <v>12</v>
      </c>
      <c r="P9" s="323">
        <v>14</v>
      </c>
      <c r="Q9" s="323"/>
      <c r="R9" s="583">
        <v>17</v>
      </c>
      <c r="S9" s="323">
        <v>17</v>
      </c>
      <c r="T9" s="323">
        <v>20</v>
      </c>
      <c r="U9" s="323">
        <v>23</v>
      </c>
      <c r="V9" s="323"/>
      <c r="W9" s="583">
        <v>25</v>
      </c>
      <c r="X9" s="323">
        <v>27</v>
      </c>
      <c r="Y9" s="323">
        <v>29</v>
      </c>
      <c r="Z9" s="323">
        <v>32</v>
      </c>
      <c r="AA9" s="323"/>
      <c r="AB9" s="583">
        <v>35</v>
      </c>
      <c r="AC9" s="323">
        <v>39</v>
      </c>
      <c r="AD9" s="323">
        <v>43</v>
      </c>
      <c r="AE9" s="323">
        <v>48</v>
      </c>
      <c r="AF9" s="323"/>
      <c r="AG9" s="583">
        <v>54</v>
      </c>
      <c r="AH9" s="323">
        <v>61</v>
      </c>
      <c r="AI9" s="323">
        <v>67</v>
      </c>
      <c r="AJ9" s="323">
        <v>75</v>
      </c>
      <c r="AK9" s="323">
        <v>79</v>
      </c>
      <c r="AL9" s="584">
        <f>+AK9</f>
        <v>79</v>
      </c>
      <c r="AM9" s="323">
        <v>84</v>
      </c>
      <c r="AN9" s="323">
        <v>91</v>
      </c>
      <c r="AO9" s="323">
        <v>99</v>
      </c>
      <c r="AP9" s="323">
        <v>105</v>
      </c>
      <c r="AQ9" s="584"/>
      <c r="AR9" s="323">
        <v>109</v>
      </c>
      <c r="AS9" s="323">
        <v>113</v>
      </c>
      <c r="AT9" s="323">
        <v>117</v>
      </c>
      <c r="AU9" s="302"/>
      <c r="AV9" s="584"/>
      <c r="AW9" s="302"/>
      <c r="AX9" s="302"/>
      <c r="AY9" s="302"/>
      <c r="AZ9" s="302"/>
      <c r="BA9" s="584"/>
      <c r="BB9" s="302"/>
      <c r="BC9" s="302"/>
      <c r="BD9" s="302"/>
      <c r="BE9" s="302"/>
      <c r="BF9" s="584"/>
    </row>
    <row r="10" spans="2:58" s="7" customFormat="1">
      <c r="B10" s="206"/>
      <c r="C10" s="206"/>
      <c r="D10" s="323"/>
      <c r="E10" s="323"/>
      <c r="F10" s="323"/>
      <c r="G10" s="323"/>
      <c r="H10" s="302"/>
      <c r="I10" s="323"/>
      <c r="J10" s="323"/>
      <c r="K10" s="323"/>
      <c r="L10" s="323"/>
      <c r="M10" s="302"/>
      <c r="N10" s="323"/>
      <c r="O10" s="323"/>
      <c r="P10" s="323"/>
      <c r="Q10" s="323"/>
      <c r="R10" s="584"/>
      <c r="S10" s="323"/>
      <c r="T10" s="323"/>
      <c r="U10" s="323"/>
      <c r="V10" s="323"/>
      <c r="W10" s="584"/>
      <c r="X10" s="323"/>
      <c r="Y10" s="323"/>
      <c r="Z10" s="323"/>
      <c r="AA10" s="323"/>
      <c r="AB10" s="584"/>
      <c r="AC10" s="323"/>
      <c r="AD10" s="323"/>
      <c r="AE10" s="323"/>
      <c r="AF10" s="323"/>
      <c r="AG10" s="584"/>
      <c r="AH10" s="302"/>
      <c r="AI10" s="302"/>
      <c r="AJ10" s="302"/>
      <c r="AK10" s="302"/>
      <c r="AL10" s="584"/>
      <c r="AM10" s="657">
        <f t="shared" ref="AM10:AT10" si="0">+AM8/AH8-1</f>
        <v>0.31578947368421062</v>
      </c>
      <c r="AN10" s="657">
        <f t="shared" si="0"/>
        <v>0.3833333333333333</v>
      </c>
      <c r="AO10" s="657">
        <f t="shared" si="0"/>
        <v>0.32835820895522394</v>
      </c>
      <c r="AP10" s="657">
        <f t="shared" si="0"/>
        <v>0.32857142857142851</v>
      </c>
      <c r="AQ10" s="658">
        <f t="shared" si="0"/>
        <v>0.32857142857142851</v>
      </c>
      <c r="AR10" s="657">
        <f t="shared" si="0"/>
        <v>0.28000000000000003</v>
      </c>
      <c r="AS10" s="657">
        <f t="shared" si="0"/>
        <v>0.19277108433734935</v>
      </c>
      <c r="AT10" s="657">
        <f t="shared" si="0"/>
        <v>0.5617977528089888</v>
      </c>
      <c r="AU10" s="302"/>
      <c r="AV10" s="584"/>
      <c r="AW10" s="302"/>
      <c r="AX10" s="302"/>
      <c r="AY10" s="302"/>
      <c r="AZ10" s="302"/>
      <c r="BA10" s="584"/>
      <c r="BB10" s="302"/>
      <c r="BC10" s="302"/>
      <c r="BD10" s="302"/>
      <c r="BE10" s="302"/>
      <c r="BF10" s="584"/>
    </row>
    <row r="11" spans="2:58" s="7" customFormat="1" ht="12.75" hidden="1" customHeight="1" outlineLevel="1">
      <c r="B11" s="206" t="s">
        <v>229</v>
      </c>
      <c r="C11" s="206"/>
      <c r="D11" s="262"/>
      <c r="E11" s="262"/>
      <c r="F11" s="262"/>
      <c r="G11" s="262"/>
      <c r="H11" s="262">
        <v>192</v>
      </c>
      <c r="I11" s="262"/>
      <c r="J11" s="262"/>
      <c r="K11" s="262"/>
      <c r="L11" s="262"/>
      <c r="M11" s="262">
        <v>222</v>
      </c>
      <c r="N11" s="262">
        <v>242</v>
      </c>
      <c r="O11" s="262"/>
      <c r="P11" s="262">
        <v>247</v>
      </c>
      <c r="Q11" s="262"/>
      <c r="R11" s="582">
        <v>264</v>
      </c>
      <c r="S11" s="262">
        <v>283</v>
      </c>
      <c r="T11" s="262"/>
      <c r="U11" s="262">
        <v>247</v>
      </c>
      <c r="V11" s="262"/>
      <c r="W11" s="582">
        <v>331</v>
      </c>
      <c r="X11" s="262">
        <v>355</v>
      </c>
      <c r="Y11" s="262"/>
      <c r="Z11" s="262">
        <v>286</v>
      </c>
      <c r="AA11" s="262"/>
      <c r="AB11" s="582">
        <v>367</v>
      </c>
      <c r="AC11" s="262">
        <v>379</v>
      </c>
      <c r="AD11" s="262"/>
      <c r="AE11" s="262"/>
      <c r="AF11" s="262"/>
      <c r="AG11" s="592"/>
      <c r="AH11" s="227"/>
      <c r="AI11" s="227"/>
      <c r="AJ11" s="227"/>
      <c r="AK11" s="227"/>
      <c r="AL11" s="592"/>
      <c r="AM11" s="227"/>
      <c r="AN11" s="227"/>
      <c r="AO11" s="227"/>
      <c r="AP11" s="227"/>
      <c r="AQ11" s="592"/>
      <c r="AR11" s="227"/>
      <c r="AS11" s="227"/>
      <c r="AT11" s="227"/>
      <c r="AU11" s="227"/>
      <c r="AV11" s="592"/>
      <c r="AW11" s="227"/>
      <c r="AX11" s="227"/>
      <c r="AY11" s="227"/>
      <c r="AZ11" s="227"/>
      <c r="BA11" s="592"/>
      <c r="BB11" s="227"/>
      <c r="BC11" s="227"/>
      <c r="BD11" s="227"/>
      <c r="BE11" s="227"/>
      <c r="BF11" s="592"/>
    </row>
    <row r="12" spans="2:58" s="7" customFormat="1" ht="12.75" hidden="1" customHeight="1" outlineLevel="1">
      <c r="B12" s="206" t="s">
        <v>335</v>
      </c>
      <c r="C12" s="206"/>
      <c r="D12" s="323"/>
      <c r="E12" s="323"/>
      <c r="F12" s="323"/>
      <c r="G12" s="323"/>
      <c r="H12" s="323">
        <v>41</v>
      </c>
      <c r="I12" s="323"/>
      <c r="J12" s="323"/>
      <c r="K12" s="323"/>
      <c r="L12" s="323"/>
      <c r="M12" s="323">
        <v>48</v>
      </c>
      <c r="N12" s="323">
        <v>54</v>
      </c>
      <c r="O12" s="323"/>
      <c r="P12" s="323">
        <v>57</v>
      </c>
      <c r="Q12" s="323"/>
      <c r="R12" s="583">
        <v>63</v>
      </c>
      <c r="S12" s="323">
        <v>70</v>
      </c>
      <c r="T12" s="323"/>
      <c r="U12" s="323">
        <v>57</v>
      </c>
      <c r="V12" s="323"/>
      <c r="W12" s="583">
        <v>83</v>
      </c>
      <c r="X12" s="323">
        <v>93</v>
      </c>
      <c r="Y12" s="323"/>
      <c r="Z12" s="323">
        <v>76</v>
      </c>
      <c r="AA12" s="323"/>
      <c r="AB12" s="583">
        <v>103</v>
      </c>
      <c r="AC12" s="323">
        <v>109</v>
      </c>
      <c r="AD12" s="323"/>
      <c r="AE12" s="323"/>
      <c r="AF12" s="323"/>
      <c r="AG12" s="584"/>
      <c r="AH12" s="302"/>
      <c r="AI12" s="302"/>
      <c r="AJ12" s="302"/>
      <c r="AK12" s="302"/>
      <c r="AL12" s="584"/>
      <c r="AM12" s="302"/>
      <c r="AN12" s="302"/>
      <c r="AO12" s="302"/>
      <c r="AP12" s="302"/>
      <c r="AQ12" s="584"/>
      <c r="AR12" s="302"/>
      <c r="AS12" s="302"/>
      <c r="AT12" s="302"/>
      <c r="AU12" s="302"/>
      <c r="AV12" s="584"/>
      <c r="AW12" s="302"/>
      <c r="AX12" s="302"/>
      <c r="AY12" s="302"/>
      <c r="AZ12" s="302"/>
      <c r="BA12" s="584"/>
      <c r="BB12" s="302"/>
      <c r="BC12" s="302"/>
      <c r="BD12" s="302"/>
      <c r="BE12" s="302"/>
      <c r="BF12" s="584"/>
    </row>
    <row r="13" spans="2:58" s="7" customFormat="1" ht="12.75" hidden="1" customHeight="1" outlineLevel="1">
      <c r="B13" s="206"/>
      <c r="C13" s="206"/>
      <c r="D13" s="323"/>
      <c r="E13" s="323"/>
      <c r="F13" s="323"/>
      <c r="G13" s="323"/>
      <c r="H13" s="302"/>
      <c r="I13" s="323"/>
      <c r="J13" s="323"/>
      <c r="K13" s="323"/>
      <c r="L13" s="323"/>
      <c r="M13" s="302"/>
      <c r="N13" s="323"/>
      <c r="O13" s="323"/>
      <c r="P13" s="323"/>
      <c r="Q13" s="323"/>
      <c r="R13" s="584"/>
      <c r="S13" s="323"/>
      <c r="T13" s="323"/>
      <c r="U13" s="323"/>
      <c r="V13" s="323"/>
      <c r="W13" s="584"/>
      <c r="X13" s="323"/>
      <c r="Y13" s="323"/>
      <c r="Z13" s="323"/>
      <c r="AA13" s="323"/>
      <c r="AB13" s="584"/>
      <c r="AC13" s="323"/>
      <c r="AD13" s="323"/>
      <c r="AE13" s="323"/>
      <c r="AF13" s="323"/>
      <c r="AG13" s="584"/>
      <c r="AH13" s="302"/>
      <c r="AI13" s="302"/>
      <c r="AJ13" s="302"/>
      <c r="AK13" s="302"/>
      <c r="AL13" s="584"/>
      <c r="AM13" s="302"/>
      <c r="AN13" s="302"/>
      <c r="AO13" s="302"/>
      <c r="AP13" s="302"/>
      <c r="AQ13" s="584"/>
      <c r="AR13" s="302"/>
      <c r="AS13" s="302"/>
      <c r="AT13" s="302"/>
      <c r="AU13" s="302"/>
      <c r="AV13" s="584"/>
      <c r="AW13" s="302"/>
      <c r="AX13" s="302"/>
      <c r="AY13" s="302"/>
      <c r="AZ13" s="302"/>
      <c r="BA13" s="584"/>
      <c r="BB13" s="302"/>
      <c r="BC13" s="302"/>
      <c r="BD13" s="302"/>
      <c r="BE13" s="302"/>
      <c r="BF13" s="584"/>
    </row>
    <row r="14" spans="2:58" s="7" customFormat="1" ht="12.75" hidden="1" customHeight="1" outlineLevel="1">
      <c r="B14" s="206" t="s">
        <v>230</v>
      </c>
      <c r="C14" s="206"/>
      <c r="D14" s="324"/>
      <c r="E14" s="324"/>
      <c r="F14" s="324"/>
      <c r="G14" s="324"/>
      <c r="H14" s="325"/>
      <c r="I14" s="324"/>
      <c r="J14" s="324"/>
      <c r="K14" s="324"/>
      <c r="L14" s="324"/>
      <c r="M14" s="325"/>
      <c r="N14" s="324"/>
      <c r="O14" s="324"/>
      <c r="P14" s="324"/>
      <c r="Q14" s="324"/>
      <c r="R14" s="585"/>
      <c r="S14" s="324"/>
      <c r="T14" s="324"/>
      <c r="U14" s="324"/>
      <c r="V14" s="324"/>
      <c r="W14" s="585"/>
      <c r="X14" s="324"/>
      <c r="Y14" s="324"/>
      <c r="Z14" s="324"/>
      <c r="AA14" s="324"/>
      <c r="AB14" s="591">
        <v>0.89</v>
      </c>
      <c r="AC14" s="324"/>
      <c r="AD14" s="324"/>
      <c r="AE14" s="324"/>
      <c r="AF14" s="324"/>
      <c r="AG14" s="585"/>
      <c r="AH14" s="325"/>
      <c r="AI14" s="325"/>
      <c r="AJ14" s="325"/>
      <c r="AK14" s="325"/>
      <c r="AL14" s="585"/>
      <c r="AM14" s="325"/>
      <c r="AN14" s="325"/>
      <c r="AO14" s="325"/>
      <c r="AP14" s="325"/>
      <c r="AQ14" s="585"/>
      <c r="AR14" s="325"/>
      <c r="AS14" s="325"/>
      <c r="AT14" s="325"/>
      <c r="AU14" s="325"/>
      <c r="AV14" s="585"/>
      <c r="AW14" s="325"/>
      <c r="AX14" s="325"/>
      <c r="AY14" s="325"/>
      <c r="AZ14" s="325"/>
      <c r="BA14" s="585"/>
      <c r="BB14" s="325"/>
      <c r="BC14" s="325"/>
      <c r="BD14" s="325"/>
      <c r="BE14" s="325"/>
      <c r="BF14" s="585"/>
    </row>
    <row r="15" spans="2:58" s="7" customFormat="1" ht="12.75" hidden="1" customHeight="1" outlineLevel="1">
      <c r="B15" s="206" t="s">
        <v>231</v>
      </c>
      <c r="C15" s="206"/>
      <c r="D15" s="324"/>
      <c r="E15" s="324"/>
      <c r="F15" s="324"/>
      <c r="G15" s="324"/>
      <c r="H15" s="325"/>
      <c r="I15" s="324"/>
      <c r="J15" s="324"/>
      <c r="K15" s="324"/>
      <c r="L15" s="324"/>
      <c r="M15" s="325"/>
      <c r="N15" s="324"/>
      <c r="O15" s="324"/>
      <c r="P15" s="324"/>
      <c r="Q15" s="324"/>
      <c r="R15" s="585"/>
      <c r="S15" s="324"/>
      <c r="T15" s="324"/>
      <c r="U15" s="324"/>
      <c r="V15" s="324"/>
      <c r="W15" s="585"/>
      <c r="X15" s="324"/>
      <c r="Y15" s="324"/>
      <c r="Z15" s="324"/>
      <c r="AA15" s="324"/>
      <c r="AB15" s="591">
        <v>0.78</v>
      </c>
      <c r="AC15" s="324"/>
      <c r="AD15" s="324"/>
      <c r="AE15" s="324"/>
      <c r="AF15" s="324"/>
      <c r="AG15" s="585"/>
      <c r="AH15" s="325"/>
      <c r="AI15" s="325"/>
      <c r="AJ15" s="325"/>
      <c r="AK15" s="325"/>
      <c r="AL15" s="585"/>
      <c r="AM15" s="325"/>
      <c r="AN15" s="325"/>
      <c r="AO15" s="325"/>
      <c r="AP15" s="325"/>
      <c r="AQ15" s="585"/>
      <c r="AR15" s="325"/>
      <c r="AS15" s="325"/>
      <c r="AT15" s="325"/>
      <c r="AU15" s="325"/>
      <c r="AV15" s="585"/>
      <c r="AW15" s="325"/>
      <c r="AX15" s="325"/>
      <c r="AY15" s="325"/>
      <c r="AZ15" s="325"/>
      <c r="BA15" s="585"/>
      <c r="BB15" s="325"/>
      <c r="BC15" s="325"/>
      <c r="BD15" s="325"/>
      <c r="BE15" s="325"/>
      <c r="BF15" s="585"/>
    </row>
    <row r="16" spans="2:58" s="7" customFormat="1" ht="12.75" hidden="1" customHeight="1" outlineLevel="1">
      <c r="B16" s="206"/>
      <c r="C16" s="206"/>
      <c r="D16" s="324"/>
      <c r="E16" s="324"/>
      <c r="F16" s="324"/>
      <c r="G16" s="324"/>
      <c r="H16" s="325"/>
      <c r="I16" s="324"/>
      <c r="J16" s="324"/>
      <c r="K16" s="324"/>
      <c r="L16" s="324"/>
      <c r="M16" s="325"/>
      <c r="N16" s="324"/>
      <c r="O16" s="324"/>
      <c r="P16" s="324"/>
      <c r="Q16" s="324"/>
      <c r="R16" s="585"/>
      <c r="S16" s="324"/>
      <c r="T16" s="324"/>
      <c r="U16" s="324"/>
      <c r="V16" s="324"/>
      <c r="W16" s="585"/>
      <c r="X16" s="324"/>
      <c r="Y16" s="324"/>
      <c r="Z16" s="324"/>
      <c r="AA16" s="324"/>
      <c r="AB16" s="585"/>
      <c r="AC16" s="324"/>
      <c r="AD16" s="324"/>
      <c r="AE16" s="324"/>
      <c r="AF16" s="324"/>
      <c r="AG16" s="585"/>
      <c r="AH16" s="325"/>
      <c r="AI16" s="325"/>
      <c r="AJ16" s="325"/>
      <c r="AK16" s="325"/>
      <c r="AL16" s="585"/>
      <c r="AM16" s="325"/>
      <c r="AN16" s="325"/>
      <c r="AO16" s="325"/>
      <c r="AP16" s="325"/>
      <c r="AQ16" s="585"/>
      <c r="AR16" s="325"/>
      <c r="AS16" s="325"/>
      <c r="AT16" s="325"/>
      <c r="AU16" s="325"/>
      <c r="AV16" s="585"/>
      <c r="AW16" s="325"/>
      <c r="AX16" s="325"/>
      <c r="AY16" s="325"/>
      <c r="AZ16" s="325"/>
      <c r="BA16" s="585"/>
      <c r="BB16" s="325"/>
      <c r="BC16" s="325"/>
      <c r="BD16" s="325"/>
      <c r="BE16" s="325"/>
      <c r="BF16" s="585"/>
    </row>
    <row r="17" spans="2:64" s="7" customFormat="1" ht="12.75" customHeight="1" outlineLevel="1">
      <c r="B17" s="206" t="s">
        <v>404</v>
      </c>
      <c r="C17" s="206"/>
      <c r="D17" s="324"/>
      <c r="E17" s="324"/>
      <c r="F17" s="324"/>
      <c r="G17" s="324"/>
      <c r="H17" s="325"/>
      <c r="I17" s="324"/>
      <c r="J17" s="324"/>
      <c r="K17" s="324"/>
      <c r="L17" s="324"/>
      <c r="M17" s="325"/>
      <c r="N17" s="324"/>
      <c r="O17" s="324"/>
      <c r="P17" s="324"/>
      <c r="Q17" s="324"/>
      <c r="R17" s="585"/>
      <c r="S17" s="324"/>
      <c r="T17" s="324"/>
      <c r="U17" s="324"/>
      <c r="V17" s="324"/>
      <c r="W17" s="585"/>
      <c r="X17" s="324"/>
      <c r="Y17" s="324"/>
      <c r="Z17" s="324"/>
      <c r="AA17" s="324"/>
      <c r="AB17" s="585"/>
      <c r="AC17" s="324"/>
      <c r="AD17" s="324"/>
      <c r="AE17" s="324"/>
      <c r="AF17" s="324"/>
      <c r="AG17" s="585"/>
      <c r="AH17" s="325"/>
      <c r="AI17" s="325"/>
      <c r="AJ17" s="325"/>
      <c r="AK17" s="325"/>
      <c r="AL17" s="585"/>
      <c r="AM17" s="325"/>
      <c r="AN17" s="325"/>
      <c r="AO17" s="325"/>
      <c r="AP17" s="324">
        <v>0.99</v>
      </c>
      <c r="AQ17" s="585"/>
      <c r="AR17" s="324">
        <v>0.99</v>
      </c>
      <c r="AS17" s="324">
        <v>0.99</v>
      </c>
      <c r="AT17" s="680" t="s">
        <v>409</v>
      </c>
      <c r="AU17" s="325"/>
      <c r="AV17" s="585"/>
      <c r="AW17" s="325"/>
      <c r="AX17" s="325"/>
      <c r="AY17" s="325"/>
      <c r="AZ17" s="325"/>
      <c r="BA17" s="585"/>
      <c r="BB17" s="325"/>
      <c r="BC17" s="325"/>
      <c r="BD17" s="325"/>
      <c r="BE17" s="325"/>
      <c r="BF17" s="585"/>
    </row>
    <row r="18" spans="2:64" s="7" customFormat="1" ht="12.75" customHeight="1">
      <c r="B18" s="206" t="s">
        <v>363</v>
      </c>
      <c r="C18" s="206"/>
      <c r="D18" s="324"/>
      <c r="E18" s="324"/>
      <c r="F18" s="324"/>
      <c r="G18" s="324"/>
      <c r="H18" s="282"/>
      <c r="I18" s="324"/>
      <c r="J18" s="324"/>
      <c r="K18" s="324"/>
      <c r="L18" s="324"/>
      <c r="M18" s="282"/>
      <c r="N18" s="324"/>
      <c r="O18" s="324"/>
      <c r="P18" s="324"/>
      <c r="Q18" s="324"/>
      <c r="R18" s="586"/>
      <c r="S18" s="324"/>
      <c r="T18" s="324"/>
      <c r="U18" s="324"/>
      <c r="V18" s="324"/>
      <c r="W18" s="586"/>
      <c r="X18" s="324"/>
      <c r="Y18" s="324"/>
      <c r="Z18" s="324"/>
      <c r="AA18" s="324"/>
      <c r="AB18" s="586"/>
      <c r="AC18" s="324"/>
      <c r="AD18" s="324"/>
      <c r="AE18" s="324"/>
      <c r="AF18" s="324"/>
      <c r="AG18" s="586"/>
      <c r="AH18" s="325"/>
      <c r="AI18" s="325"/>
      <c r="AJ18" s="324">
        <v>0.99</v>
      </c>
      <c r="AK18" s="324">
        <v>0.99</v>
      </c>
      <c r="AL18" s="585">
        <f>+AK18</f>
        <v>0.99</v>
      </c>
      <c r="AM18" s="324">
        <v>0.99</v>
      </c>
      <c r="AN18" s="324">
        <v>0.99</v>
      </c>
      <c r="AO18" s="324">
        <v>0.99</v>
      </c>
      <c r="AP18" s="324">
        <v>0.98</v>
      </c>
      <c r="AQ18" s="586"/>
      <c r="AR18" s="324">
        <v>0.98</v>
      </c>
      <c r="AS18" s="324">
        <v>0.98</v>
      </c>
      <c r="AT18" s="680" t="s">
        <v>410</v>
      </c>
      <c r="AU18" s="325"/>
      <c r="AV18" s="586"/>
      <c r="AW18" s="325"/>
      <c r="AX18" s="325"/>
      <c r="AY18" s="325"/>
      <c r="AZ18" s="325"/>
      <c r="BA18" s="586"/>
      <c r="BB18" s="325"/>
      <c r="BC18" s="325"/>
      <c r="BD18" s="325"/>
      <c r="BE18" s="325"/>
      <c r="BF18" s="586"/>
    </row>
    <row r="19" spans="2:64" s="7" customFormat="1" ht="12.75" customHeight="1">
      <c r="B19" s="206" t="s">
        <v>364</v>
      </c>
      <c r="C19" s="206"/>
      <c r="D19" s="324"/>
      <c r="E19" s="324"/>
      <c r="F19" s="324"/>
      <c r="G19" s="324"/>
      <c r="H19" s="282"/>
      <c r="I19" s="324"/>
      <c r="J19" s="324"/>
      <c r="K19" s="324"/>
      <c r="L19" s="324"/>
      <c r="M19" s="282"/>
      <c r="N19" s="324"/>
      <c r="O19" s="324"/>
      <c r="P19" s="324"/>
      <c r="Q19" s="324"/>
      <c r="R19" s="586"/>
      <c r="S19" s="324"/>
      <c r="T19" s="324"/>
      <c r="U19" s="324"/>
      <c r="V19" s="324"/>
      <c r="W19" s="586"/>
      <c r="X19" s="324"/>
      <c r="Y19" s="324"/>
      <c r="Z19" s="324"/>
      <c r="AA19" s="324"/>
      <c r="AB19" s="586"/>
      <c r="AC19" s="324"/>
      <c r="AD19" s="324"/>
      <c r="AE19" s="324"/>
      <c r="AF19" s="324"/>
      <c r="AG19" s="586"/>
      <c r="AH19" s="325"/>
      <c r="AI19" s="325"/>
      <c r="AJ19" s="324">
        <v>0.97</v>
      </c>
      <c r="AK19" s="324">
        <v>0.97</v>
      </c>
      <c r="AL19" s="585">
        <f>+AK19</f>
        <v>0.97</v>
      </c>
      <c r="AM19" s="324">
        <v>0.97</v>
      </c>
      <c r="AN19" s="324">
        <v>0.97</v>
      </c>
      <c r="AO19" s="324">
        <v>0.97</v>
      </c>
      <c r="AP19" s="324">
        <v>0.97</v>
      </c>
      <c r="AQ19" s="586"/>
      <c r="AR19" s="324">
        <v>0.97</v>
      </c>
      <c r="AS19" s="324">
        <v>0.97</v>
      </c>
      <c r="AT19" s="680" t="s">
        <v>411</v>
      </c>
      <c r="AU19" s="325"/>
      <c r="AV19" s="586"/>
      <c r="AW19" s="325"/>
      <c r="AX19" s="325"/>
      <c r="AY19" s="325"/>
      <c r="AZ19" s="325"/>
      <c r="BA19" s="586"/>
      <c r="BB19" s="325"/>
      <c r="BC19" s="325"/>
      <c r="BD19" s="325"/>
      <c r="BE19" s="325"/>
      <c r="BF19" s="586"/>
    </row>
    <row r="20" spans="2:64" s="7" customFormat="1" ht="12.75" customHeight="1">
      <c r="B20" s="206" t="s">
        <v>365</v>
      </c>
      <c r="C20" s="206"/>
      <c r="D20" s="324"/>
      <c r="E20" s="324"/>
      <c r="F20" s="324"/>
      <c r="G20" s="324"/>
      <c r="H20" s="282"/>
      <c r="I20" s="324"/>
      <c r="J20" s="324"/>
      <c r="K20" s="324"/>
      <c r="L20" s="324"/>
      <c r="M20" s="282"/>
      <c r="N20" s="324"/>
      <c r="O20" s="324"/>
      <c r="P20" s="324"/>
      <c r="Q20" s="324"/>
      <c r="R20" s="586"/>
      <c r="S20" s="324"/>
      <c r="T20" s="324"/>
      <c r="U20" s="324"/>
      <c r="V20" s="324"/>
      <c r="W20" s="586"/>
      <c r="X20" s="324"/>
      <c r="Y20" s="324"/>
      <c r="Z20" s="324"/>
      <c r="AA20" s="324"/>
      <c r="AB20" s="586"/>
      <c r="AC20" s="324"/>
      <c r="AD20" s="324"/>
      <c r="AE20" s="324"/>
      <c r="AF20" s="324"/>
      <c r="AG20" s="586"/>
      <c r="AH20" s="325"/>
      <c r="AI20" s="325"/>
      <c r="AJ20" s="324">
        <v>0.92</v>
      </c>
      <c r="AK20" s="324">
        <v>0.91</v>
      </c>
      <c r="AL20" s="585">
        <f>+AK20</f>
        <v>0.91</v>
      </c>
      <c r="AM20" s="324">
        <v>0.91</v>
      </c>
      <c r="AN20" s="324">
        <v>0.91</v>
      </c>
      <c r="AO20" s="324">
        <v>0.91</v>
      </c>
      <c r="AP20" s="324">
        <v>0.94</v>
      </c>
      <c r="AQ20" s="586"/>
      <c r="AR20" s="324">
        <v>0.94</v>
      </c>
      <c r="AS20" s="324">
        <v>0.94</v>
      </c>
      <c r="AT20" s="680" t="s">
        <v>412</v>
      </c>
      <c r="AU20" s="325"/>
      <c r="AV20" s="586"/>
      <c r="AW20" s="325"/>
      <c r="AX20" s="325"/>
      <c r="AY20" s="325"/>
      <c r="AZ20" s="325"/>
      <c r="BA20" s="586"/>
      <c r="BB20" s="325"/>
      <c r="BC20" s="325"/>
      <c r="BD20" s="325"/>
      <c r="BE20" s="325"/>
      <c r="BF20" s="586"/>
      <c r="BL20" s="324">
        <v>0.99</v>
      </c>
    </row>
    <row r="21" spans="2:64" s="7" customFormat="1" ht="6" customHeight="1">
      <c r="B21" s="206"/>
      <c r="C21" s="206"/>
      <c r="D21" s="324"/>
      <c r="E21" s="324"/>
      <c r="F21" s="324"/>
      <c r="G21" s="324"/>
      <c r="H21" s="325"/>
      <c r="I21" s="324"/>
      <c r="J21" s="324"/>
      <c r="K21" s="324"/>
      <c r="L21" s="324"/>
      <c r="M21" s="325"/>
      <c r="N21" s="324"/>
      <c r="O21" s="324"/>
      <c r="P21" s="324"/>
      <c r="Q21" s="324"/>
      <c r="R21" s="585"/>
      <c r="S21" s="324"/>
      <c r="T21" s="324"/>
      <c r="U21" s="324"/>
      <c r="V21" s="324"/>
      <c r="W21" s="585"/>
      <c r="X21" s="324"/>
      <c r="Y21" s="324"/>
      <c r="Z21" s="324"/>
      <c r="AA21" s="324"/>
      <c r="AB21" s="585"/>
      <c r="AC21" s="324"/>
      <c r="AD21" s="324"/>
      <c r="AE21" s="324"/>
      <c r="AF21" s="324"/>
      <c r="AG21" s="585"/>
      <c r="AH21" s="325"/>
      <c r="AI21" s="325"/>
      <c r="AJ21" s="325"/>
      <c r="AK21" s="325"/>
      <c r="AL21" s="585"/>
      <c r="AM21" s="325"/>
      <c r="AN21" s="325"/>
      <c r="AO21" s="325"/>
      <c r="AP21" s="325"/>
      <c r="AQ21" s="585"/>
      <c r="AR21" s="325"/>
      <c r="AS21" s="325"/>
      <c r="AT21" s="678"/>
      <c r="AU21" s="325"/>
      <c r="AV21" s="585"/>
      <c r="AW21" s="325"/>
      <c r="AX21" s="325"/>
      <c r="AY21" s="325"/>
      <c r="AZ21" s="325"/>
      <c r="BA21" s="585"/>
      <c r="BB21" s="325"/>
      <c r="BC21" s="325"/>
      <c r="BD21" s="325"/>
      <c r="BE21" s="325"/>
      <c r="BF21" s="585"/>
    </row>
    <row r="22" spans="2:64" s="7" customFormat="1" ht="12.75" hidden="1" customHeight="1">
      <c r="B22" s="206" t="s">
        <v>336</v>
      </c>
      <c r="C22" s="206"/>
      <c r="D22" s="324">
        <v>0</v>
      </c>
      <c r="E22" s="324">
        <v>0</v>
      </c>
      <c r="F22" s="324">
        <v>0</v>
      </c>
      <c r="G22" s="324">
        <v>0</v>
      </c>
      <c r="H22" s="282">
        <f>+G22</f>
        <v>0</v>
      </c>
      <c r="I22" s="324">
        <v>0</v>
      </c>
      <c r="J22" s="324">
        <v>0</v>
      </c>
      <c r="K22" s="324">
        <v>0</v>
      </c>
      <c r="L22" s="324">
        <v>0</v>
      </c>
      <c r="M22" s="282">
        <f>+L22</f>
        <v>0</v>
      </c>
      <c r="N22" s="324">
        <v>0</v>
      </c>
      <c r="O22" s="324">
        <v>0</v>
      </c>
      <c r="P22" s="324">
        <v>0</v>
      </c>
      <c r="Q22" s="324">
        <v>0</v>
      </c>
      <c r="R22" s="586">
        <f>+Q22</f>
        <v>0</v>
      </c>
      <c r="S22" s="324">
        <v>0</v>
      </c>
      <c r="T22" s="324">
        <v>0</v>
      </c>
      <c r="U22" s="304">
        <v>0</v>
      </c>
      <c r="V22" s="324">
        <v>0</v>
      </c>
      <c r="W22" s="586">
        <f>+V22</f>
        <v>0</v>
      </c>
      <c r="X22" s="324">
        <v>0</v>
      </c>
      <c r="Y22" s="324">
        <v>0</v>
      </c>
      <c r="Z22" s="304">
        <v>0.02</v>
      </c>
      <c r="AA22" s="324">
        <v>0.03</v>
      </c>
      <c r="AB22" s="586">
        <f>+AA22</f>
        <v>0.03</v>
      </c>
      <c r="AC22" s="324">
        <v>0.03</v>
      </c>
      <c r="AD22" s="324"/>
      <c r="AE22" s="304">
        <v>0.06</v>
      </c>
      <c r="AF22" s="324">
        <v>0.06</v>
      </c>
      <c r="AG22" s="586">
        <f>+AF22</f>
        <v>0.06</v>
      </c>
      <c r="AH22" s="324">
        <v>7.0000000000000007E-2</v>
      </c>
      <c r="AI22" s="304">
        <v>0.08</v>
      </c>
      <c r="AJ22" s="304">
        <v>0.09</v>
      </c>
      <c r="AK22" s="304">
        <v>0.1</v>
      </c>
      <c r="AL22" s="586">
        <f>+AK22</f>
        <v>0.1</v>
      </c>
      <c r="AM22" s="304">
        <v>0.11</v>
      </c>
      <c r="AN22" s="304">
        <v>0.13</v>
      </c>
      <c r="AO22" s="304">
        <v>0.13</v>
      </c>
      <c r="AP22" s="304">
        <v>0.15</v>
      </c>
      <c r="AQ22" s="586">
        <f>+AP22</f>
        <v>0.15</v>
      </c>
      <c r="AR22" s="304">
        <v>0.18</v>
      </c>
      <c r="AS22" s="304">
        <v>0.24</v>
      </c>
      <c r="AT22" s="678"/>
      <c r="AU22" s="325"/>
      <c r="AV22" s="586">
        <f>+AU22</f>
        <v>0</v>
      </c>
      <c r="AW22" s="325"/>
      <c r="AX22" s="325"/>
      <c r="AY22" s="325"/>
      <c r="AZ22" s="325"/>
      <c r="BA22" s="586">
        <f>+AZ22</f>
        <v>0</v>
      </c>
      <c r="BB22" s="325"/>
      <c r="BC22" s="325"/>
      <c r="BD22" s="325"/>
      <c r="BE22" s="325"/>
      <c r="BF22" s="586">
        <f>+BE22</f>
        <v>0</v>
      </c>
      <c r="BH22" s="324">
        <v>0.99</v>
      </c>
      <c r="BI22" s="7">
        <f>+BH22*AO22</f>
        <v>0.12870000000000001</v>
      </c>
      <c r="BL22" s="324">
        <v>0.99</v>
      </c>
    </row>
    <row r="23" spans="2:64" s="7" customFormat="1" ht="12.75" hidden="1" customHeight="1">
      <c r="B23" s="206" t="s">
        <v>281</v>
      </c>
      <c r="C23" s="206"/>
      <c r="D23" s="304"/>
      <c r="E23" s="304"/>
      <c r="F23" s="304"/>
      <c r="G23" s="304"/>
      <c r="H23" s="282"/>
      <c r="I23" s="304"/>
      <c r="J23" s="304"/>
      <c r="K23" s="304"/>
      <c r="L23" s="304"/>
      <c r="M23" s="282"/>
      <c r="N23" s="304"/>
      <c r="O23" s="304"/>
      <c r="P23" s="304"/>
      <c r="Q23" s="304">
        <v>0.01</v>
      </c>
      <c r="R23" s="586">
        <f>+Q23</f>
        <v>0.01</v>
      </c>
      <c r="S23" s="304">
        <v>0.01</v>
      </c>
      <c r="T23" s="304">
        <v>0.01</v>
      </c>
      <c r="U23" s="304">
        <v>0.02</v>
      </c>
      <c r="V23" s="304">
        <v>0.03</v>
      </c>
      <c r="W23" s="586">
        <f>+V23</f>
        <v>0.03</v>
      </c>
      <c r="X23" s="304">
        <v>0.03</v>
      </c>
      <c r="Y23" s="304">
        <v>0.04</v>
      </c>
      <c r="Z23" s="304">
        <v>0.06</v>
      </c>
      <c r="AA23" s="304">
        <v>0.08</v>
      </c>
      <c r="AB23" s="586">
        <f>+AA23</f>
        <v>0.08</v>
      </c>
      <c r="AC23" s="304">
        <v>0.09</v>
      </c>
      <c r="AD23" s="304">
        <v>0.11</v>
      </c>
      <c r="AE23" s="304">
        <v>0.14000000000000001</v>
      </c>
      <c r="AF23" s="304">
        <v>0.15</v>
      </c>
      <c r="AG23" s="586">
        <f>+AF23</f>
        <v>0.15</v>
      </c>
      <c r="AH23" s="304">
        <v>0.16</v>
      </c>
      <c r="AI23" s="304">
        <v>0.19</v>
      </c>
      <c r="AJ23" s="304">
        <v>0.2</v>
      </c>
      <c r="AK23" s="304">
        <v>0.21</v>
      </c>
      <c r="AL23" s="586">
        <f>+AK23</f>
        <v>0.21</v>
      </c>
      <c r="AM23" s="304">
        <v>0.22</v>
      </c>
      <c r="AN23" s="304">
        <v>0.24</v>
      </c>
      <c r="AO23" s="304">
        <v>0.26</v>
      </c>
      <c r="AP23" s="304">
        <v>0.28000000000000003</v>
      </c>
      <c r="AQ23" s="586">
        <f>+AP23</f>
        <v>0.28000000000000003</v>
      </c>
      <c r="AR23" s="304">
        <v>0.32</v>
      </c>
      <c r="AS23" s="304">
        <v>0.38</v>
      </c>
      <c r="AT23" s="676"/>
      <c r="AU23" s="304"/>
      <c r="AV23" s="586">
        <f>+AU23</f>
        <v>0</v>
      </c>
      <c r="AW23" s="304"/>
      <c r="AX23" s="304"/>
      <c r="AY23" s="304"/>
      <c r="AZ23" s="304"/>
      <c r="BA23" s="586">
        <f>+AZ23</f>
        <v>0</v>
      </c>
      <c r="BB23" s="304"/>
      <c r="BC23" s="304"/>
      <c r="BD23" s="304"/>
      <c r="BE23" s="304"/>
      <c r="BF23" s="586">
        <f>+BE23</f>
        <v>0</v>
      </c>
      <c r="BH23" s="324">
        <v>0.99</v>
      </c>
      <c r="BI23" s="7">
        <f>+BH23*AO23</f>
        <v>0.25740000000000002</v>
      </c>
      <c r="BL23" s="324">
        <v>0.97</v>
      </c>
    </row>
    <row r="24" spans="2:64" s="7" customFormat="1" ht="12.75" hidden="1" customHeight="1">
      <c r="B24" s="206" t="s">
        <v>202</v>
      </c>
      <c r="C24" s="206"/>
      <c r="D24" s="304"/>
      <c r="E24" s="304"/>
      <c r="F24" s="304"/>
      <c r="G24" s="304">
        <v>0.09</v>
      </c>
      <c r="H24" s="282">
        <f>+G24</f>
        <v>0.09</v>
      </c>
      <c r="I24" s="304"/>
      <c r="J24" s="304">
        <v>0.11</v>
      </c>
      <c r="K24" s="304">
        <v>0.11</v>
      </c>
      <c r="L24" s="304">
        <v>0.12</v>
      </c>
      <c r="M24" s="282">
        <f>+L24</f>
        <v>0.12</v>
      </c>
      <c r="N24" s="304">
        <v>0.12</v>
      </c>
      <c r="O24" s="304">
        <v>0.13</v>
      </c>
      <c r="P24" s="304">
        <v>0.14000000000000001</v>
      </c>
      <c r="Q24" s="304">
        <v>0.16</v>
      </c>
      <c r="R24" s="586">
        <f>+Q24</f>
        <v>0.16</v>
      </c>
      <c r="S24" s="304">
        <v>0.17</v>
      </c>
      <c r="T24" s="304">
        <v>0.18</v>
      </c>
      <c r="U24" s="304">
        <v>0.19</v>
      </c>
      <c r="V24" s="304">
        <v>0.2</v>
      </c>
      <c r="W24" s="586">
        <f>+V24</f>
        <v>0.2</v>
      </c>
      <c r="X24" s="304">
        <v>0.21</v>
      </c>
      <c r="Y24" s="304">
        <v>0.22</v>
      </c>
      <c r="Z24" s="304">
        <v>0.23</v>
      </c>
      <c r="AA24" s="304">
        <v>0.26</v>
      </c>
      <c r="AB24" s="586">
        <f>+AA24</f>
        <v>0.26</v>
      </c>
      <c r="AC24" s="304">
        <v>0.27</v>
      </c>
      <c r="AD24" s="304">
        <v>0.28000000000000003</v>
      </c>
      <c r="AE24" s="304">
        <v>0.3</v>
      </c>
      <c r="AF24" s="304">
        <v>0.32</v>
      </c>
      <c r="AG24" s="586">
        <f>+AF24</f>
        <v>0.32</v>
      </c>
      <c r="AH24" s="304">
        <v>0.34</v>
      </c>
      <c r="AI24" s="304">
        <v>0.37</v>
      </c>
      <c r="AJ24" s="304">
        <v>0.39</v>
      </c>
      <c r="AK24" s="304">
        <v>0.41</v>
      </c>
      <c r="AL24" s="586">
        <f>+AK24</f>
        <v>0.41</v>
      </c>
      <c r="AM24" s="304">
        <v>0.42</v>
      </c>
      <c r="AN24" s="304">
        <v>0.44</v>
      </c>
      <c r="AO24" s="304">
        <v>0.46</v>
      </c>
      <c r="AP24" s="304">
        <v>0.48</v>
      </c>
      <c r="AQ24" s="586">
        <f>+AP24</f>
        <v>0.48</v>
      </c>
      <c r="AR24" s="304">
        <v>0.5</v>
      </c>
      <c r="AS24" s="656">
        <v>0.54</v>
      </c>
      <c r="AT24" s="676"/>
      <c r="AU24" s="304"/>
      <c r="AV24" s="586">
        <f>+AU24</f>
        <v>0</v>
      </c>
      <c r="AW24" s="304"/>
      <c r="AX24" s="304"/>
      <c r="AY24" s="304"/>
      <c r="AZ24" s="304"/>
      <c r="BA24" s="586">
        <f>+AZ24</f>
        <v>0</v>
      </c>
      <c r="BB24" s="304"/>
      <c r="BC24" s="304"/>
      <c r="BD24" s="304"/>
      <c r="BE24" s="304"/>
      <c r="BF24" s="586">
        <f>+BE24</f>
        <v>0</v>
      </c>
      <c r="BH24" s="324">
        <v>0.97</v>
      </c>
      <c r="BI24" s="7">
        <f>+BH24*AO24</f>
        <v>0.44619999999999999</v>
      </c>
      <c r="BL24" s="324">
        <v>0.91</v>
      </c>
    </row>
    <row r="25" spans="2:64" s="7" customFormat="1" ht="12.75" hidden="1" customHeight="1">
      <c r="B25" s="206" t="s">
        <v>337</v>
      </c>
      <c r="C25" s="206"/>
      <c r="D25" s="304"/>
      <c r="E25" s="304"/>
      <c r="F25" s="304"/>
      <c r="G25" s="304"/>
      <c r="H25" s="282">
        <f>+G25</f>
        <v>0</v>
      </c>
      <c r="I25" s="304"/>
      <c r="J25" s="304"/>
      <c r="K25" s="304"/>
      <c r="L25" s="304"/>
      <c r="M25" s="282">
        <f>+L25</f>
        <v>0</v>
      </c>
      <c r="N25" s="304"/>
      <c r="O25" s="304"/>
      <c r="P25" s="304"/>
      <c r="Q25" s="304"/>
      <c r="R25" s="586">
        <f>+Q25</f>
        <v>0</v>
      </c>
      <c r="S25" s="304"/>
      <c r="T25" s="304">
        <v>0.55000000000000004</v>
      </c>
      <c r="U25" s="304">
        <v>0.56999999999999995</v>
      </c>
      <c r="V25" s="304">
        <v>0.57999999999999996</v>
      </c>
      <c r="W25" s="586">
        <f>+V25</f>
        <v>0.57999999999999996</v>
      </c>
      <c r="X25" s="304">
        <v>0.59</v>
      </c>
      <c r="Y25" s="304">
        <v>0.59</v>
      </c>
      <c r="Z25" s="304">
        <v>0.59</v>
      </c>
      <c r="AA25" s="304">
        <v>0.61</v>
      </c>
      <c r="AB25" s="586">
        <f>+AA25</f>
        <v>0.61</v>
      </c>
      <c r="AC25" s="304">
        <v>0.62</v>
      </c>
      <c r="AD25" s="304">
        <v>0.63</v>
      </c>
      <c r="AE25" s="304">
        <v>0.64</v>
      </c>
      <c r="AF25" s="304">
        <v>0.66</v>
      </c>
      <c r="AG25" s="586">
        <f>+AF25</f>
        <v>0.66</v>
      </c>
      <c r="AH25" s="304">
        <v>0.67</v>
      </c>
      <c r="AI25" s="304">
        <v>0.68</v>
      </c>
      <c r="AJ25" s="304">
        <v>0.69</v>
      </c>
      <c r="AK25" s="304">
        <v>0.7</v>
      </c>
      <c r="AL25" s="586">
        <f>+AK25</f>
        <v>0.7</v>
      </c>
      <c r="AM25" s="304">
        <v>0.7</v>
      </c>
      <c r="AN25" s="304">
        <v>0.71</v>
      </c>
      <c r="AO25" s="304">
        <v>0.72</v>
      </c>
      <c r="AP25" s="304">
        <v>0.72</v>
      </c>
      <c r="AQ25" s="586">
        <f>+AP25</f>
        <v>0.72</v>
      </c>
      <c r="AR25" s="304">
        <v>0.73</v>
      </c>
      <c r="AS25" s="656">
        <v>0.76</v>
      </c>
      <c r="AT25" s="676"/>
      <c r="AU25" s="304"/>
      <c r="AV25" s="586">
        <f>+AU25</f>
        <v>0</v>
      </c>
      <c r="AW25" s="304"/>
      <c r="AX25" s="304"/>
      <c r="AY25" s="304"/>
      <c r="AZ25" s="304"/>
      <c r="BA25" s="586">
        <f>+AZ25</f>
        <v>0</v>
      </c>
      <c r="BB25" s="304"/>
      <c r="BC25" s="304"/>
      <c r="BD25" s="304"/>
      <c r="BE25" s="304"/>
      <c r="BF25" s="586">
        <f>+BE25</f>
        <v>0</v>
      </c>
      <c r="BH25" s="324">
        <v>0.91</v>
      </c>
      <c r="BI25" s="7">
        <f>+BH25*AO25</f>
        <v>0.6552</v>
      </c>
      <c r="BL25" s="324">
        <v>0.8</v>
      </c>
    </row>
    <row r="26" spans="2:64" s="7" customFormat="1" ht="6" hidden="1" customHeight="1">
      <c r="B26" s="206"/>
      <c r="C26" s="206"/>
      <c r="D26" s="304"/>
      <c r="E26" s="304"/>
      <c r="F26" s="304"/>
      <c r="G26" s="304"/>
      <c r="H26" s="282"/>
      <c r="I26" s="304"/>
      <c r="J26" s="304"/>
      <c r="K26" s="304"/>
      <c r="L26" s="304"/>
      <c r="M26" s="282"/>
      <c r="N26" s="304"/>
      <c r="O26" s="304"/>
      <c r="P26" s="304"/>
      <c r="Q26" s="304"/>
      <c r="R26" s="586"/>
      <c r="S26" s="304"/>
      <c r="T26" s="304"/>
      <c r="U26" s="304"/>
      <c r="V26" s="304"/>
      <c r="W26" s="586"/>
      <c r="X26" s="304"/>
      <c r="Y26" s="304"/>
      <c r="Z26" s="304"/>
      <c r="AA26" s="304"/>
      <c r="AB26" s="586"/>
      <c r="AC26" s="304"/>
      <c r="AD26" s="304"/>
      <c r="AE26" s="304"/>
      <c r="AF26" s="304"/>
      <c r="AG26" s="586"/>
      <c r="AH26" s="304"/>
      <c r="AI26" s="304"/>
      <c r="AJ26" s="304"/>
      <c r="AK26" s="304"/>
      <c r="AL26" s="586"/>
      <c r="AM26" s="304"/>
      <c r="AN26" s="304"/>
      <c r="AO26" s="304"/>
      <c r="AP26" s="304"/>
      <c r="AQ26" s="586"/>
      <c r="AR26" s="304"/>
      <c r="AS26" s="656"/>
      <c r="AT26" s="676"/>
      <c r="AU26" s="304"/>
      <c r="AV26" s="586"/>
      <c r="AW26" s="304"/>
      <c r="AX26" s="304"/>
      <c r="AY26" s="304"/>
      <c r="AZ26" s="304"/>
      <c r="BA26" s="586"/>
      <c r="BB26" s="304"/>
      <c r="BC26" s="304"/>
      <c r="BD26" s="304"/>
      <c r="BE26" s="304"/>
      <c r="BF26" s="586"/>
    </row>
    <row r="27" spans="2:64" s="7" customFormat="1" ht="12.75" hidden="1" customHeight="1">
      <c r="B27" s="206" t="s">
        <v>362</v>
      </c>
      <c r="C27" s="206"/>
      <c r="D27" s="322"/>
      <c r="E27" s="322"/>
      <c r="F27" s="322"/>
      <c r="G27" s="322"/>
      <c r="H27" s="457"/>
      <c r="I27" s="322"/>
      <c r="J27" s="322"/>
      <c r="K27" s="322"/>
      <c r="L27" s="322"/>
      <c r="M27" s="457"/>
      <c r="N27" s="322"/>
      <c r="O27" s="322"/>
      <c r="P27" s="322"/>
      <c r="Q27" s="322"/>
      <c r="R27" s="587"/>
      <c r="S27" s="322"/>
      <c r="T27" s="322"/>
      <c r="U27" s="322"/>
      <c r="V27" s="322"/>
      <c r="W27" s="587"/>
      <c r="X27" s="322"/>
      <c r="Y27" s="322"/>
      <c r="Z27" s="322">
        <v>273</v>
      </c>
      <c r="AA27" s="322"/>
      <c r="AB27" s="587"/>
      <c r="AC27" s="322"/>
      <c r="AD27" s="322"/>
      <c r="AE27" s="322">
        <v>326</v>
      </c>
      <c r="AF27" s="322"/>
      <c r="AG27" s="587"/>
      <c r="AH27" s="322"/>
      <c r="AI27" s="322"/>
      <c r="AJ27" s="322">
        <v>359</v>
      </c>
      <c r="AK27" s="322"/>
      <c r="AL27" s="587"/>
      <c r="AM27" s="322"/>
      <c r="AN27" s="322"/>
      <c r="AO27" s="322"/>
      <c r="AP27" s="322"/>
      <c r="AQ27" s="593"/>
      <c r="AR27" s="322"/>
      <c r="AS27" s="669"/>
      <c r="AT27" s="679"/>
      <c r="AU27" s="322"/>
      <c r="AV27" s="593"/>
      <c r="AW27" s="322"/>
      <c r="AX27" s="322"/>
      <c r="AY27" s="322"/>
      <c r="AZ27" s="322"/>
      <c r="BA27" s="593"/>
      <c r="BB27" s="322"/>
      <c r="BC27" s="322"/>
      <c r="BD27" s="322"/>
      <c r="BE27" s="322"/>
      <c r="BF27" s="593"/>
      <c r="BI27" s="7">
        <f>+SUM(BI22:BI25)/4</f>
        <v>0.37187500000000001</v>
      </c>
      <c r="BL27" s="7" t="e">
        <f>SUMPRODUCT(BL20:BL25,AO45:AO49)</f>
        <v>#VALUE!</v>
      </c>
    </row>
    <row r="28" spans="2:64" s="7" customFormat="1" ht="12.75" hidden="1" customHeight="1">
      <c r="B28" s="206" t="s">
        <v>282</v>
      </c>
      <c r="C28" s="206"/>
      <c r="D28" s="322"/>
      <c r="E28" s="322"/>
      <c r="F28" s="322"/>
      <c r="G28" s="322"/>
      <c r="H28" s="457"/>
      <c r="I28" s="322"/>
      <c r="J28" s="322"/>
      <c r="K28" s="322"/>
      <c r="L28" s="322"/>
      <c r="M28" s="457"/>
      <c r="N28" s="322"/>
      <c r="O28" s="322"/>
      <c r="P28" s="322"/>
      <c r="Q28" s="322"/>
      <c r="R28" s="587">
        <v>60</v>
      </c>
      <c r="S28" s="322">
        <v>59</v>
      </c>
      <c r="T28" s="322">
        <v>95</v>
      </c>
      <c r="U28" s="322">
        <v>105</v>
      </c>
      <c r="V28" s="322"/>
      <c r="W28" s="587">
        <v>140</v>
      </c>
      <c r="X28" s="322">
        <v>175</v>
      </c>
      <c r="Y28" s="322">
        <v>192</v>
      </c>
      <c r="Z28" s="322">
        <v>206</v>
      </c>
      <c r="AA28" s="322"/>
      <c r="AB28" s="587">
        <v>207</v>
      </c>
      <c r="AC28" s="322">
        <v>214</v>
      </c>
      <c r="AD28" s="322">
        <v>238</v>
      </c>
      <c r="AE28" s="322">
        <v>258</v>
      </c>
      <c r="AF28" s="322"/>
      <c r="AG28" s="587">
        <v>273</v>
      </c>
      <c r="AH28" s="322">
        <v>247</v>
      </c>
      <c r="AI28" s="322">
        <v>274</v>
      </c>
      <c r="AJ28" s="322">
        <v>268</v>
      </c>
      <c r="AK28" s="322">
        <v>266</v>
      </c>
      <c r="AL28" s="593">
        <f>+AK28</f>
        <v>266</v>
      </c>
      <c r="AM28" s="322">
        <v>266</v>
      </c>
      <c r="AN28" s="322">
        <v>270</v>
      </c>
      <c r="AO28" s="322">
        <v>273</v>
      </c>
      <c r="AP28" s="322">
        <v>273</v>
      </c>
      <c r="AQ28" s="593"/>
      <c r="AR28" s="322">
        <v>270</v>
      </c>
      <c r="AS28" s="669">
        <v>257</v>
      </c>
      <c r="AT28" s="679"/>
      <c r="AU28" s="322"/>
      <c r="AV28" s="593"/>
      <c r="AW28" s="322"/>
      <c r="AX28" s="322"/>
      <c r="AY28" s="322"/>
      <c r="AZ28" s="322"/>
      <c r="BA28" s="593"/>
      <c r="BB28" s="322"/>
      <c r="BC28" s="322"/>
      <c r="BD28" s="322"/>
      <c r="BE28" s="322"/>
      <c r="BF28" s="593"/>
    </row>
    <row r="29" spans="2:64" s="7" customFormat="1" ht="12.75" hidden="1" customHeight="1">
      <c r="B29" s="206" t="s">
        <v>201</v>
      </c>
      <c r="C29" s="206"/>
      <c r="D29" s="322"/>
      <c r="E29" s="322"/>
      <c r="F29" s="322"/>
      <c r="G29" s="322"/>
      <c r="H29" s="322">
        <v>100</v>
      </c>
      <c r="I29" s="322"/>
      <c r="J29" s="322"/>
      <c r="K29" s="322"/>
      <c r="L29" s="322"/>
      <c r="M29" s="322">
        <v>100</v>
      </c>
      <c r="N29" s="322">
        <v>100</v>
      </c>
      <c r="O29" s="322">
        <v>102</v>
      </c>
      <c r="P29" s="322"/>
      <c r="Q29" s="322">
        <v>105</v>
      </c>
      <c r="R29" s="587">
        <v>111</v>
      </c>
      <c r="S29" s="322">
        <v>115</v>
      </c>
      <c r="T29" s="322">
        <v>133</v>
      </c>
      <c r="U29" s="322">
        <v>136</v>
      </c>
      <c r="V29" s="322"/>
      <c r="W29" s="587">
        <v>142</v>
      </c>
      <c r="X29" s="322">
        <v>142</v>
      </c>
      <c r="Y29" s="322">
        <v>153</v>
      </c>
      <c r="Z29" s="322">
        <v>158</v>
      </c>
      <c r="AA29" s="322"/>
      <c r="AB29" s="587">
        <v>164</v>
      </c>
      <c r="AC29" s="322">
        <v>168</v>
      </c>
      <c r="AD29" s="322">
        <v>182</v>
      </c>
      <c r="AE29" s="322">
        <v>192</v>
      </c>
      <c r="AF29" s="322"/>
      <c r="AG29" s="587">
        <v>200</v>
      </c>
      <c r="AH29" s="322">
        <v>187</v>
      </c>
      <c r="AI29" s="322">
        <v>207</v>
      </c>
      <c r="AJ29" s="322">
        <v>209</v>
      </c>
      <c r="AK29" s="322">
        <v>212</v>
      </c>
      <c r="AL29" s="593">
        <f>+AK29</f>
        <v>212</v>
      </c>
      <c r="AM29" s="322">
        <v>216</v>
      </c>
      <c r="AN29" s="322">
        <v>220</v>
      </c>
      <c r="AO29" s="322">
        <v>223</v>
      </c>
      <c r="AP29" s="322">
        <v>223</v>
      </c>
      <c r="AQ29" s="593"/>
      <c r="AR29" s="322">
        <v>223</v>
      </c>
      <c r="AS29" s="669">
        <v>218</v>
      </c>
      <c r="AT29" s="679"/>
      <c r="AU29" s="322"/>
      <c r="AV29" s="593"/>
      <c r="AW29" s="322"/>
      <c r="AX29" s="322"/>
      <c r="AY29" s="322"/>
      <c r="AZ29" s="322"/>
      <c r="BA29" s="593"/>
      <c r="BB29" s="322"/>
      <c r="BC29" s="322"/>
      <c r="BD29" s="322"/>
      <c r="BE29" s="322"/>
      <c r="BF29" s="593"/>
    </row>
    <row r="30" spans="2:64" s="7" customFormat="1" ht="12.6" hidden="1" customHeight="1">
      <c r="B30" s="206" t="s">
        <v>228</v>
      </c>
      <c r="C30" s="206"/>
      <c r="D30" s="322"/>
      <c r="E30" s="322"/>
      <c r="F30" s="322"/>
      <c r="G30" s="322"/>
      <c r="H30" s="322">
        <v>66</v>
      </c>
      <c r="I30" s="322"/>
      <c r="J30" s="322"/>
      <c r="K30" s="322"/>
      <c r="L30" s="322"/>
      <c r="M30" s="322">
        <v>70</v>
      </c>
      <c r="N30" s="322"/>
      <c r="O30" s="322"/>
      <c r="P30" s="322"/>
      <c r="Q30" s="322"/>
      <c r="R30" s="587">
        <v>86</v>
      </c>
      <c r="S30" s="322"/>
      <c r="T30" s="322"/>
      <c r="U30" s="322">
        <v>67</v>
      </c>
      <c r="V30" s="322"/>
      <c r="W30" s="587">
        <v>91</v>
      </c>
      <c r="X30" s="322"/>
      <c r="Y30" s="322"/>
      <c r="Z30" s="322">
        <v>68</v>
      </c>
      <c r="AA30" s="322"/>
      <c r="AB30" s="587">
        <v>91</v>
      </c>
      <c r="AC30" s="322"/>
      <c r="AD30" s="322"/>
      <c r="AE30" s="322"/>
      <c r="AF30" s="322"/>
      <c r="AG30" s="593"/>
      <c r="AH30" s="322"/>
      <c r="AI30" s="322"/>
      <c r="AJ30" s="322"/>
      <c r="AK30" s="322"/>
      <c r="AL30" s="593"/>
      <c r="AM30" s="322"/>
      <c r="AN30" s="322"/>
      <c r="AO30" s="322"/>
      <c r="AP30" s="322"/>
      <c r="AQ30" s="593"/>
      <c r="AR30" s="322"/>
      <c r="AS30" s="669"/>
      <c r="AT30" s="679"/>
      <c r="AU30" s="322"/>
      <c r="AV30" s="593"/>
      <c r="AW30" s="322"/>
      <c r="AX30" s="322"/>
      <c r="AY30" s="322"/>
      <c r="AZ30" s="322"/>
      <c r="BA30" s="593"/>
      <c r="BB30" s="322"/>
      <c r="BC30" s="322"/>
      <c r="BD30" s="322"/>
      <c r="BE30" s="322"/>
      <c r="BF30" s="593"/>
    </row>
    <row r="31" spans="2:64" s="7" customFormat="1" ht="12.6" hidden="1" customHeight="1">
      <c r="B31" s="206" t="s">
        <v>227</v>
      </c>
      <c r="C31" s="206"/>
      <c r="D31" s="322"/>
      <c r="E31" s="322"/>
      <c r="F31" s="322"/>
      <c r="G31" s="322"/>
      <c r="H31" s="322">
        <v>39</v>
      </c>
      <c r="I31" s="322"/>
      <c r="J31" s="322"/>
      <c r="K31" s="322"/>
      <c r="L31" s="322"/>
      <c r="M31" s="322">
        <v>37</v>
      </c>
      <c r="N31" s="322">
        <v>36</v>
      </c>
      <c r="O31" s="322">
        <v>37</v>
      </c>
      <c r="P31" s="322"/>
      <c r="Q31" s="322">
        <v>37</v>
      </c>
      <c r="R31" s="587">
        <v>42</v>
      </c>
      <c r="S31" s="322">
        <v>45</v>
      </c>
      <c r="T31" s="322">
        <v>49</v>
      </c>
      <c r="U31" s="322">
        <v>48</v>
      </c>
      <c r="V31" s="322"/>
      <c r="W31" s="587">
        <v>49</v>
      </c>
      <c r="X31" s="322">
        <v>48</v>
      </c>
      <c r="Y31" s="322">
        <v>51</v>
      </c>
      <c r="Z31" s="322">
        <v>52</v>
      </c>
      <c r="AA31" s="322"/>
      <c r="AB31" s="587">
        <v>52</v>
      </c>
      <c r="AC31" s="322">
        <v>46</v>
      </c>
      <c r="AD31" s="322">
        <v>50</v>
      </c>
      <c r="AE31" s="322">
        <v>49</v>
      </c>
      <c r="AF31" s="322"/>
      <c r="AG31" s="587">
        <v>49</v>
      </c>
      <c r="AH31" s="322">
        <v>50</v>
      </c>
      <c r="AI31" s="322">
        <v>52</v>
      </c>
      <c r="AJ31" s="322">
        <v>52</v>
      </c>
      <c r="AK31" s="322">
        <v>52</v>
      </c>
      <c r="AL31" s="593">
        <f>+AK31</f>
        <v>52</v>
      </c>
      <c r="AM31" s="322">
        <v>52</v>
      </c>
      <c r="AN31" s="322">
        <v>50</v>
      </c>
      <c r="AO31" s="322">
        <v>49</v>
      </c>
      <c r="AP31" s="322">
        <v>48</v>
      </c>
      <c r="AQ31" s="593"/>
      <c r="AR31" s="322">
        <v>44</v>
      </c>
      <c r="AS31" s="669">
        <v>41</v>
      </c>
      <c r="AT31" s="679"/>
      <c r="AU31" s="322"/>
      <c r="AV31" s="593"/>
      <c r="AW31" s="322"/>
      <c r="AX31" s="322"/>
      <c r="AY31" s="322"/>
      <c r="AZ31" s="322"/>
      <c r="BA31" s="593"/>
      <c r="BB31" s="322"/>
      <c r="BC31" s="322"/>
      <c r="BD31" s="322"/>
      <c r="BE31" s="322"/>
      <c r="BF31" s="593"/>
    </row>
    <row r="32" spans="2:64" s="7" customFormat="1" ht="6" hidden="1" customHeight="1">
      <c r="B32" s="206"/>
      <c r="C32" s="206"/>
      <c r="D32" s="322"/>
      <c r="E32" s="322"/>
      <c r="F32" s="322"/>
      <c r="G32" s="322"/>
      <c r="H32" s="241"/>
      <c r="I32" s="322"/>
      <c r="J32" s="322"/>
      <c r="K32" s="322"/>
      <c r="L32" s="322"/>
      <c r="M32" s="241"/>
      <c r="N32" s="322"/>
      <c r="O32" s="322"/>
      <c r="P32" s="322"/>
      <c r="Q32" s="322"/>
      <c r="R32" s="588"/>
      <c r="S32" s="322"/>
      <c r="T32" s="322"/>
      <c r="U32" s="322"/>
      <c r="V32" s="322"/>
      <c r="W32" s="588"/>
      <c r="X32" s="322"/>
      <c r="Y32" s="322"/>
      <c r="Z32" s="322"/>
      <c r="AA32" s="322"/>
      <c r="AB32" s="588"/>
      <c r="AC32" s="322"/>
      <c r="AD32" s="322"/>
      <c r="AE32" s="322"/>
      <c r="AF32" s="322"/>
      <c r="AG32" s="588"/>
      <c r="AH32" s="322"/>
      <c r="AI32" s="322"/>
      <c r="AJ32" s="322"/>
      <c r="AK32" s="322"/>
      <c r="AL32" s="588"/>
      <c r="AM32" s="322"/>
      <c r="AN32" s="322"/>
      <c r="AO32" s="322"/>
      <c r="AP32" s="322"/>
      <c r="AQ32" s="588"/>
      <c r="AR32" s="322"/>
      <c r="AS32" s="669"/>
      <c r="AT32" s="322"/>
      <c r="AU32" s="322"/>
      <c r="AV32" s="588"/>
      <c r="AW32" s="322"/>
      <c r="AX32" s="322"/>
      <c r="AY32" s="322"/>
      <c r="AZ32" s="322"/>
      <c r="BA32" s="588"/>
      <c r="BB32" s="322"/>
      <c r="BC32" s="322"/>
      <c r="BD32" s="322"/>
      <c r="BE32" s="322"/>
      <c r="BF32" s="588"/>
    </row>
    <row r="33" spans="2:58" s="7" customFormat="1" ht="12.6" hidden="1" customHeight="1">
      <c r="B33" s="206" t="s">
        <v>358</v>
      </c>
      <c r="C33" s="206"/>
      <c r="D33" s="322"/>
      <c r="E33" s="322"/>
      <c r="F33" s="322"/>
      <c r="G33" s="322"/>
      <c r="H33" s="241"/>
      <c r="I33" s="322"/>
      <c r="J33" s="322"/>
      <c r="K33" s="322"/>
      <c r="L33" s="322"/>
      <c r="M33" s="241"/>
      <c r="N33" s="322"/>
      <c r="O33" s="322"/>
      <c r="P33" s="322"/>
      <c r="Q33" s="322"/>
      <c r="R33" s="588"/>
      <c r="S33" s="322"/>
      <c r="T33" s="322"/>
      <c r="U33" s="322"/>
      <c r="V33" s="322"/>
      <c r="W33" s="588"/>
      <c r="X33" s="322"/>
      <c r="Y33" s="322"/>
      <c r="Z33" s="322"/>
      <c r="AA33" s="322"/>
      <c r="AB33" s="588"/>
      <c r="AC33" s="322"/>
      <c r="AD33" s="322"/>
      <c r="AE33" s="322"/>
      <c r="AF33" s="322"/>
      <c r="AG33" s="588"/>
      <c r="AH33" s="322"/>
      <c r="AI33" s="322"/>
      <c r="AJ33" s="322"/>
      <c r="AK33" s="304">
        <v>0.45</v>
      </c>
      <c r="AL33" s="586">
        <f>+AK33</f>
        <v>0.45</v>
      </c>
      <c r="AM33" s="322"/>
      <c r="AN33" s="322"/>
      <c r="AO33" s="322"/>
      <c r="AP33" s="322"/>
      <c r="AQ33" s="588"/>
      <c r="AR33" s="322"/>
      <c r="AS33" s="669"/>
      <c r="AT33" s="322"/>
      <c r="AU33" s="322"/>
      <c r="AV33" s="588"/>
      <c r="AW33" s="322"/>
      <c r="AX33" s="322"/>
      <c r="AY33" s="322"/>
      <c r="AZ33" s="322"/>
      <c r="BA33" s="588"/>
      <c r="BB33" s="322"/>
      <c r="BC33" s="322"/>
      <c r="BD33" s="322"/>
      <c r="BE33" s="322"/>
      <c r="BF33" s="588"/>
    </row>
    <row r="34" spans="2:58" s="7" customFormat="1" ht="12.6" hidden="1" customHeight="1">
      <c r="B34" s="206" t="s">
        <v>359</v>
      </c>
      <c r="C34" s="206"/>
      <c r="D34" s="322"/>
      <c r="E34" s="322"/>
      <c r="F34" s="322"/>
      <c r="G34" s="322"/>
      <c r="H34" s="241"/>
      <c r="I34" s="322"/>
      <c r="J34" s="322"/>
      <c r="K34" s="322"/>
      <c r="L34" s="322"/>
      <c r="M34" s="241"/>
      <c r="N34" s="322"/>
      <c r="O34" s="322"/>
      <c r="P34" s="322"/>
      <c r="Q34" s="322"/>
      <c r="R34" s="588"/>
      <c r="S34" s="322"/>
      <c r="T34" s="322"/>
      <c r="U34" s="322"/>
      <c r="V34" s="322"/>
      <c r="W34" s="588"/>
      <c r="X34" s="322"/>
      <c r="Y34" s="322"/>
      <c r="Z34" s="322"/>
      <c r="AA34" s="322"/>
      <c r="AB34" s="588"/>
      <c r="AC34" s="322"/>
      <c r="AD34" s="322"/>
      <c r="AE34" s="322"/>
      <c r="AF34" s="322"/>
      <c r="AG34" s="588"/>
      <c r="AH34" s="322"/>
      <c r="AI34" s="322"/>
      <c r="AJ34" s="322"/>
      <c r="AK34" s="304">
        <v>0.55000000000000004</v>
      </c>
      <c r="AL34" s="586">
        <f>+AK34</f>
        <v>0.55000000000000004</v>
      </c>
      <c r="AM34" s="322"/>
      <c r="AN34" s="322"/>
      <c r="AO34" s="322"/>
      <c r="AP34" s="322"/>
      <c r="AQ34" s="588"/>
      <c r="AR34" s="322"/>
      <c r="AS34" s="669"/>
      <c r="AT34" s="322"/>
      <c r="AU34" s="322"/>
      <c r="AV34" s="588"/>
      <c r="AW34" s="322"/>
      <c r="AX34" s="322"/>
      <c r="AY34" s="322"/>
      <c r="AZ34" s="322"/>
      <c r="BA34" s="588"/>
      <c r="BB34" s="322"/>
      <c r="BC34" s="322"/>
      <c r="BD34" s="322"/>
      <c r="BE34" s="322"/>
      <c r="BF34" s="588"/>
    </row>
    <row r="35" spans="2:58" ht="6" hidden="1" customHeight="1">
      <c r="R35" s="589"/>
      <c r="W35" s="589"/>
      <c r="AB35" s="589"/>
      <c r="AG35" s="589"/>
      <c r="AL35" s="589"/>
      <c r="AQ35" s="589"/>
      <c r="AS35" s="670"/>
      <c r="AV35" s="589"/>
      <c r="BA35" s="589"/>
      <c r="BF35" s="589"/>
    </row>
    <row r="36" spans="2:58" s="7" customFormat="1" ht="12.6" hidden="1" customHeight="1">
      <c r="B36" s="206" t="s">
        <v>197</v>
      </c>
      <c r="C36" s="206"/>
      <c r="D36" s="304"/>
      <c r="E36" s="304"/>
      <c r="F36" s="304"/>
      <c r="G36" s="304"/>
      <c r="H36" s="282">
        <f>+SUM(D36:G36)</f>
        <v>0</v>
      </c>
      <c r="I36" s="304"/>
      <c r="J36" s="304"/>
      <c r="K36" s="304"/>
      <c r="L36" s="304"/>
      <c r="M36" s="282">
        <f>+SUM(I36:L36)</f>
        <v>0</v>
      </c>
      <c r="N36" s="304"/>
      <c r="O36" s="304"/>
      <c r="P36" s="304"/>
      <c r="Q36" s="304"/>
      <c r="R36" s="586">
        <f>+SUM(N36:Q36)</f>
        <v>0</v>
      </c>
      <c r="S36" s="304"/>
      <c r="T36" s="304"/>
      <c r="U36" s="304"/>
      <c r="V36" s="304"/>
      <c r="W36" s="586">
        <f>+SUM(S36:V36)</f>
        <v>0</v>
      </c>
      <c r="X36" s="304"/>
      <c r="Y36" s="304"/>
      <c r="Z36" s="304"/>
      <c r="AA36" s="304">
        <v>0.05</v>
      </c>
      <c r="AB36" s="586">
        <f>+AA36</f>
        <v>0.05</v>
      </c>
      <c r="AC36" s="304">
        <v>0.08</v>
      </c>
      <c r="AD36" s="304">
        <v>0.09</v>
      </c>
      <c r="AE36" s="304">
        <v>0.14000000000000001</v>
      </c>
      <c r="AF36" s="304">
        <v>0.12</v>
      </c>
      <c r="AG36" s="586">
        <f>+AF36</f>
        <v>0.12</v>
      </c>
      <c r="AH36" s="304">
        <v>0.15</v>
      </c>
      <c r="AI36" s="304">
        <v>0.15</v>
      </c>
      <c r="AJ36" s="304">
        <v>0.23</v>
      </c>
      <c r="AK36" s="304">
        <v>0.2</v>
      </c>
      <c r="AL36" s="586">
        <f>+SUM(AH36:AK36)</f>
        <v>0.73</v>
      </c>
      <c r="AM36" s="304">
        <v>0.23</v>
      </c>
      <c r="AN36" s="304">
        <v>0.25</v>
      </c>
      <c r="AO36" s="304">
        <v>0.33</v>
      </c>
      <c r="AP36" s="656">
        <v>0.35</v>
      </c>
      <c r="AQ36" s="586">
        <f>+SUM(AM36:AP36)</f>
        <v>1.1600000000000001</v>
      </c>
      <c r="AR36" s="656">
        <v>0.44</v>
      </c>
      <c r="AS36" s="676"/>
      <c r="AT36" s="677"/>
      <c r="AU36" s="304"/>
      <c r="AV36" s="586">
        <f>+SUM(AR36:AU36)</f>
        <v>0.44</v>
      </c>
      <c r="AW36" s="304"/>
      <c r="AX36" s="304"/>
      <c r="AY36" s="304"/>
      <c r="AZ36" s="304"/>
      <c r="BA36" s="586">
        <f>+SUM(AW36:AZ36)</f>
        <v>0</v>
      </c>
      <c r="BB36" s="304"/>
      <c r="BC36" s="304"/>
      <c r="BD36" s="304"/>
      <c r="BE36" s="304"/>
      <c r="BF36" s="586">
        <f>+SUM(BB36:BE36)</f>
        <v>0</v>
      </c>
    </row>
    <row r="37" spans="2:58" s="150" customFormat="1" ht="12.6" hidden="1" customHeight="1">
      <c r="B37" s="150" t="s">
        <v>334</v>
      </c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590"/>
      <c r="S37" s="162"/>
      <c r="T37" s="162"/>
      <c r="U37" s="162"/>
      <c r="V37" s="162"/>
      <c r="W37" s="590"/>
      <c r="X37" s="162"/>
      <c r="Y37" s="162"/>
      <c r="Z37" s="162"/>
      <c r="AA37" s="162"/>
      <c r="AB37" s="590"/>
      <c r="AC37" s="162"/>
      <c r="AD37" s="397">
        <v>3.4</v>
      </c>
      <c r="AE37" s="397">
        <v>4.7</v>
      </c>
      <c r="AF37" s="397">
        <v>6.6</v>
      </c>
      <c r="AG37" s="590">
        <f>+AF37</f>
        <v>6.6</v>
      </c>
      <c r="AH37" s="397">
        <v>7.9</v>
      </c>
      <c r="AI37" s="397">
        <v>8.6999999999999993</v>
      </c>
      <c r="AJ37" s="397">
        <v>14.5</v>
      </c>
      <c r="AK37" s="397">
        <v>16.2</v>
      </c>
      <c r="AL37" s="590">
        <f>+AK37</f>
        <v>16.2</v>
      </c>
      <c r="AM37" s="397">
        <v>17.899999999999999</v>
      </c>
      <c r="AN37" s="397">
        <v>23.6</v>
      </c>
      <c r="AO37" s="397">
        <v>27.9</v>
      </c>
      <c r="AP37" s="397">
        <v>30.7</v>
      </c>
      <c r="AQ37" s="590"/>
      <c r="AR37" s="397">
        <v>38.4</v>
      </c>
      <c r="AS37" s="397">
        <v>43</v>
      </c>
      <c r="AT37" s="397">
        <v>50</v>
      </c>
      <c r="AU37" s="162"/>
      <c r="AV37" s="590"/>
      <c r="AW37" s="162"/>
      <c r="AX37" s="162"/>
      <c r="AY37" s="162"/>
      <c r="AZ37" s="162"/>
      <c r="BA37" s="590"/>
      <c r="BB37" s="162"/>
      <c r="BC37" s="162"/>
      <c r="BD37" s="162"/>
      <c r="BE37" s="162"/>
      <c r="BF37" s="590"/>
    </row>
    <row r="38" spans="2:58" s="150" customFormat="1" hidden="1">
      <c r="B38" s="150" t="s">
        <v>339</v>
      </c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590"/>
      <c r="S38" s="162"/>
      <c r="T38" s="162"/>
      <c r="U38" s="162"/>
      <c r="V38" s="162"/>
      <c r="W38" s="590"/>
      <c r="X38" s="162"/>
      <c r="Y38" s="162"/>
      <c r="Z38" s="162"/>
      <c r="AA38" s="162"/>
      <c r="AB38" s="590"/>
      <c r="AC38" s="162"/>
      <c r="AD38" s="162"/>
      <c r="AE38" s="162"/>
      <c r="AF38" s="162"/>
      <c r="AG38" s="590"/>
      <c r="AH38" s="304">
        <v>0.12</v>
      </c>
      <c r="AI38" s="304">
        <v>0.14000000000000001</v>
      </c>
      <c r="AJ38" s="162"/>
      <c r="AK38" s="162"/>
      <c r="AL38" s="590"/>
      <c r="AM38" s="304">
        <v>0.18</v>
      </c>
      <c r="AN38" s="162"/>
      <c r="AO38" s="162"/>
      <c r="AP38" s="162"/>
      <c r="AQ38" s="590"/>
      <c r="AR38" s="304"/>
      <c r="AS38" s="668"/>
      <c r="AT38" s="162"/>
      <c r="AU38" s="162"/>
      <c r="AV38" s="590"/>
      <c r="AW38" s="162"/>
      <c r="AX38" s="162"/>
      <c r="AY38" s="162"/>
      <c r="AZ38" s="162"/>
      <c r="BA38" s="590"/>
      <c r="BB38" s="162"/>
      <c r="BC38" s="162"/>
      <c r="BD38" s="162"/>
      <c r="BE38" s="162"/>
      <c r="BF38" s="590"/>
    </row>
    <row r="39" spans="2:58" s="7" customFormat="1" ht="12.6" hidden="1" customHeight="1">
      <c r="B39" s="206" t="s">
        <v>338</v>
      </c>
      <c r="C39" s="206"/>
      <c r="D39" s="304"/>
      <c r="E39" s="304"/>
      <c r="F39" s="304"/>
      <c r="G39" s="304"/>
      <c r="H39" s="282">
        <f>+SUM(D39:G39)</f>
        <v>0</v>
      </c>
      <c r="I39" s="304"/>
      <c r="J39" s="304"/>
      <c r="K39" s="304"/>
      <c r="L39" s="304"/>
      <c r="M39" s="282">
        <f>+SUM(I39:L39)</f>
        <v>0</v>
      </c>
      <c r="N39" s="304"/>
      <c r="O39" s="304"/>
      <c r="P39" s="304"/>
      <c r="Q39" s="304"/>
      <c r="R39" s="586">
        <f>+SUM(N39:Q39)</f>
        <v>0</v>
      </c>
      <c r="S39" s="304"/>
      <c r="T39" s="304"/>
      <c r="U39" s="304"/>
      <c r="V39" s="304"/>
      <c r="W39" s="586">
        <f>+SUM(S39:V39)</f>
        <v>0</v>
      </c>
      <c r="X39" s="304"/>
      <c r="Y39" s="304">
        <v>0.18</v>
      </c>
      <c r="Z39" s="304">
        <v>0.22</v>
      </c>
      <c r="AA39" s="304"/>
      <c r="AB39" s="586">
        <f>+AA39</f>
        <v>0</v>
      </c>
      <c r="AC39" s="304"/>
      <c r="AD39" s="304"/>
      <c r="AE39" s="304">
        <v>0.19</v>
      </c>
      <c r="AF39" s="304">
        <v>0.15</v>
      </c>
      <c r="AG39" s="586">
        <f>+AF39</f>
        <v>0.15</v>
      </c>
      <c r="AH39" s="304">
        <v>0.17</v>
      </c>
      <c r="AI39" s="304">
        <v>0.16</v>
      </c>
      <c r="AJ39" s="304">
        <v>0.05</v>
      </c>
      <c r="AK39" s="304"/>
      <c r="AL39" s="586">
        <f>+SUM(AH39:AK39)</f>
        <v>0.38</v>
      </c>
      <c r="AM39" s="304">
        <v>0.15</v>
      </c>
      <c r="AN39" s="304"/>
      <c r="AO39" s="304"/>
      <c r="AP39" s="304">
        <v>0.09</v>
      </c>
      <c r="AQ39" s="586">
        <f>+SUM(AM39:AP39)</f>
        <v>0.24</v>
      </c>
      <c r="AR39" s="656">
        <v>0.03</v>
      </c>
      <c r="AS39" s="676"/>
      <c r="AT39" s="677"/>
      <c r="AU39" s="304"/>
      <c r="AV39" s="586">
        <f>+SUM(AR39:AU39)</f>
        <v>0.03</v>
      </c>
      <c r="AW39" s="304"/>
      <c r="AX39" s="304"/>
      <c r="AY39" s="304"/>
      <c r="AZ39" s="304"/>
      <c r="BA39" s="586">
        <f>+SUM(AW39:AZ39)</f>
        <v>0</v>
      </c>
      <c r="BB39" s="304"/>
      <c r="BC39" s="304"/>
      <c r="BD39" s="304"/>
      <c r="BE39" s="304"/>
      <c r="BF39" s="586">
        <f>+SUM(BB39:BE39)</f>
        <v>0</v>
      </c>
    </row>
    <row r="40" spans="2:58" s="150" customFormat="1" hidden="1">
      <c r="B40" s="150" t="s">
        <v>346</v>
      </c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590"/>
      <c r="S40" s="162"/>
      <c r="T40" s="162"/>
      <c r="U40" s="162"/>
      <c r="V40" s="162"/>
      <c r="W40" s="590"/>
      <c r="X40" s="162"/>
      <c r="Y40" s="162"/>
      <c r="Z40" s="162"/>
      <c r="AA40" s="162"/>
      <c r="AB40" s="590"/>
      <c r="AC40" s="162"/>
      <c r="AD40" s="162"/>
      <c r="AE40" s="162"/>
      <c r="AF40" s="162"/>
      <c r="AG40" s="590"/>
      <c r="AH40" s="162"/>
      <c r="AI40" s="162"/>
      <c r="AJ40" s="304">
        <v>0.12</v>
      </c>
      <c r="AK40" s="162"/>
      <c r="AL40" s="590"/>
      <c r="AM40" s="162"/>
      <c r="AN40" s="162"/>
      <c r="AO40" s="162"/>
      <c r="AP40" s="162"/>
      <c r="AQ40" s="590"/>
      <c r="AR40" s="162"/>
      <c r="AS40" s="162"/>
      <c r="AT40" s="162"/>
      <c r="AU40" s="162"/>
      <c r="AV40" s="590"/>
      <c r="AW40" s="162"/>
      <c r="AX40" s="162"/>
      <c r="AY40" s="162"/>
      <c r="AZ40" s="162"/>
      <c r="BA40" s="590"/>
      <c r="BB40" s="162"/>
      <c r="BC40" s="162"/>
      <c r="BD40" s="162"/>
      <c r="BE40" s="162"/>
      <c r="BF40" s="590"/>
    </row>
    <row r="41" spans="2:58" s="150" customFormat="1" ht="6.6" customHeight="1"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AY41" s="162"/>
      <c r="AZ41" s="162"/>
      <c r="BA41" s="162"/>
      <c r="BB41" s="162"/>
      <c r="BC41" s="162"/>
      <c r="BD41" s="162"/>
      <c r="BE41" s="162"/>
      <c r="BF41" s="162"/>
    </row>
    <row r="42" spans="2:58" s="150" customFormat="1" ht="13.15" thickBot="1">
      <c r="B42" s="197" t="s">
        <v>167</v>
      </c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3"/>
      <c r="AX42" s="163"/>
      <c r="AY42" s="163"/>
      <c r="AZ42" s="163"/>
      <c r="BA42" s="163"/>
      <c r="BB42" s="163"/>
      <c r="BC42" s="163"/>
      <c r="BD42" s="163"/>
      <c r="BE42" s="163"/>
      <c r="BF42" s="163"/>
    </row>
    <row r="43" spans="2:58" s="150" customFormat="1">
      <c r="B43" s="642"/>
      <c r="C43" s="642"/>
      <c r="D43" s="642"/>
      <c r="E43" s="642"/>
      <c r="F43" s="642"/>
      <c r="G43" s="642"/>
      <c r="H43" s="642"/>
      <c r="I43" s="642"/>
      <c r="J43" s="642"/>
      <c r="K43" s="642"/>
      <c r="L43" s="642"/>
      <c r="M43" s="642"/>
      <c r="N43" s="642"/>
      <c r="O43" s="642"/>
      <c r="P43" s="642"/>
      <c r="Q43" s="642"/>
      <c r="R43" s="642"/>
      <c r="S43" s="642"/>
      <c r="T43" s="642"/>
      <c r="U43" s="642"/>
      <c r="V43" s="642"/>
      <c r="W43" s="642"/>
      <c r="X43" s="642"/>
      <c r="Y43" s="642"/>
      <c r="Z43" s="642"/>
      <c r="AA43" s="642"/>
      <c r="AB43" s="642"/>
      <c r="AC43" s="642"/>
      <c r="AD43" s="642"/>
      <c r="AE43" s="642"/>
      <c r="AF43" s="642"/>
      <c r="AG43" s="642"/>
      <c r="AH43" s="642"/>
      <c r="AI43" s="642"/>
      <c r="AJ43" s="642"/>
      <c r="AK43" s="642"/>
      <c r="AL43" s="642"/>
      <c r="AM43" s="642"/>
      <c r="AN43" s="642"/>
      <c r="AO43" s="642"/>
      <c r="AP43" s="642"/>
      <c r="AQ43" s="642"/>
      <c r="AR43" s="642"/>
      <c r="AS43" s="642"/>
      <c r="AT43" s="642"/>
      <c r="AU43" s="642"/>
      <c r="AV43" s="642"/>
      <c r="AW43" s="642"/>
      <c r="AX43" s="642"/>
      <c r="AY43" s="642"/>
      <c r="AZ43" s="642"/>
      <c r="BA43" s="642"/>
      <c r="BB43" s="642"/>
      <c r="BC43" s="642"/>
      <c r="BD43" s="642"/>
      <c r="BE43" s="642"/>
      <c r="BF43" s="642"/>
    </row>
    <row r="45" spans="2:58">
      <c r="B45" s="126" t="s">
        <v>393</v>
      </c>
      <c r="AH45" s="282">
        <f>+AH22</f>
        <v>7.0000000000000007E-2</v>
      </c>
      <c r="AI45" s="282">
        <f>+AI22</f>
        <v>0.08</v>
      </c>
      <c r="AJ45" s="282">
        <f>+AJ22</f>
        <v>0.09</v>
      </c>
      <c r="AK45" s="282">
        <f>+AK22</f>
        <v>0.1</v>
      </c>
      <c r="AM45" s="282">
        <f t="shared" ref="AM45:AN45" si="1">+AM22</f>
        <v>0.11</v>
      </c>
      <c r="AN45" s="282">
        <f t="shared" si="1"/>
        <v>0.13</v>
      </c>
      <c r="AO45" s="282">
        <f>+AO22</f>
        <v>0.13</v>
      </c>
      <c r="AP45" s="282">
        <f>+AP22</f>
        <v>0.15</v>
      </c>
      <c r="AR45" s="282">
        <f>+AR22</f>
        <v>0.18</v>
      </c>
      <c r="AS45" s="282">
        <f>+AS22</f>
        <v>0.24</v>
      </c>
      <c r="AT45" s="282">
        <f>+AT22</f>
        <v>0</v>
      </c>
    </row>
    <row r="46" spans="2:58">
      <c r="B46" s="126" t="s">
        <v>394</v>
      </c>
      <c r="AH46" s="282">
        <f t="shared" ref="AH46:AK48" si="2">+AH23-AH22</f>
        <v>0.09</v>
      </c>
      <c r="AI46" s="282">
        <f t="shared" si="2"/>
        <v>0.11</v>
      </c>
      <c r="AJ46" s="282">
        <f t="shared" si="2"/>
        <v>0.11000000000000001</v>
      </c>
      <c r="AK46" s="282">
        <f t="shared" si="2"/>
        <v>0.10999999999999999</v>
      </c>
      <c r="AM46" s="282">
        <f t="shared" ref="AM46:AN46" si="3">+AM23-AM22</f>
        <v>0.11</v>
      </c>
      <c r="AN46" s="282">
        <f t="shared" si="3"/>
        <v>0.10999999999999999</v>
      </c>
      <c r="AO46" s="282">
        <f t="shared" ref="AO46:AP48" si="4">+AO23-AO22</f>
        <v>0.13</v>
      </c>
      <c r="AP46" s="282">
        <f t="shared" si="4"/>
        <v>0.13000000000000003</v>
      </c>
      <c r="AR46" s="282">
        <f t="shared" ref="AR46:AS46" si="5">+AR23-AR22</f>
        <v>0.14000000000000001</v>
      </c>
      <c r="AS46" s="282">
        <f t="shared" si="5"/>
        <v>0.14000000000000001</v>
      </c>
      <c r="AT46" s="282">
        <f t="shared" ref="AT46" si="6">+AT23-AT22</f>
        <v>0</v>
      </c>
    </row>
    <row r="47" spans="2:58" ht="13.5" customHeight="1">
      <c r="B47" s="126" t="s">
        <v>395</v>
      </c>
      <c r="AH47" s="282">
        <f t="shared" si="2"/>
        <v>0.18000000000000002</v>
      </c>
      <c r="AI47" s="282">
        <f t="shared" si="2"/>
        <v>0.18</v>
      </c>
      <c r="AJ47" s="282">
        <f t="shared" si="2"/>
        <v>0.19</v>
      </c>
      <c r="AK47" s="282">
        <f t="shared" si="2"/>
        <v>0.19999999999999998</v>
      </c>
      <c r="AM47" s="282">
        <f t="shared" ref="AM47:AN47" si="7">+AM24-AM23</f>
        <v>0.19999999999999998</v>
      </c>
      <c r="AN47" s="282">
        <f t="shared" si="7"/>
        <v>0.2</v>
      </c>
      <c r="AO47" s="282">
        <f t="shared" si="4"/>
        <v>0.2</v>
      </c>
      <c r="AP47" s="282">
        <f t="shared" si="4"/>
        <v>0.19999999999999996</v>
      </c>
      <c r="AR47" s="282">
        <f t="shared" ref="AR47:AS47" si="8">+AR24-AR23</f>
        <v>0.18</v>
      </c>
      <c r="AS47" s="282">
        <f t="shared" si="8"/>
        <v>0.16000000000000003</v>
      </c>
      <c r="AT47" s="282">
        <f t="shared" ref="AT47" si="9">+AT24-AT23</f>
        <v>0</v>
      </c>
    </row>
    <row r="48" spans="2:58">
      <c r="B48" s="126" t="s">
        <v>396</v>
      </c>
      <c r="AH48" s="282">
        <f t="shared" si="2"/>
        <v>0.33</v>
      </c>
      <c r="AI48" s="282">
        <f t="shared" si="2"/>
        <v>0.31000000000000005</v>
      </c>
      <c r="AJ48" s="282">
        <f t="shared" si="2"/>
        <v>0.29999999999999993</v>
      </c>
      <c r="AK48" s="282">
        <f t="shared" si="2"/>
        <v>0.28999999999999998</v>
      </c>
      <c r="AM48" s="282">
        <f t="shared" ref="AM48:AN48" si="10">+AM25-AM24</f>
        <v>0.27999999999999997</v>
      </c>
      <c r="AN48" s="282">
        <f t="shared" si="10"/>
        <v>0.26999999999999996</v>
      </c>
      <c r="AO48" s="282">
        <f t="shared" si="4"/>
        <v>0.25999999999999995</v>
      </c>
      <c r="AP48" s="282">
        <f t="shared" si="4"/>
        <v>0.24</v>
      </c>
      <c r="AR48" s="282">
        <f t="shared" ref="AR48:AS48" si="11">+AR25-AR24</f>
        <v>0.22999999999999998</v>
      </c>
      <c r="AS48" s="282">
        <f t="shared" si="11"/>
        <v>0.21999999999999997</v>
      </c>
      <c r="AT48" s="282">
        <f t="shared" ref="AT48" si="12">+AT25-AT24</f>
        <v>0</v>
      </c>
    </row>
    <row r="49" spans="2:58">
      <c r="B49" s="126" t="s">
        <v>397</v>
      </c>
      <c r="C49" s="128"/>
      <c r="D49" s="129"/>
      <c r="E49" s="130"/>
      <c r="F49" s="131"/>
      <c r="G49" s="131"/>
      <c r="H49" s="132"/>
      <c r="I49" s="129"/>
      <c r="J49" s="130"/>
      <c r="K49" s="131"/>
      <c r="L49" s="131"/>
      <c r="M49" s="132"/>
      <c r="N49" s="129"/>
      <c r="O49" s="130"/>
      <c r="P49" s="131"/>
      <c r="Q49" s="131"/>
      <c r="R49" s="132"/>
      <c r="S49" s="129"/>
      <c r="T49" s="130"/>
      <c r="U49" s="131"/>
      <c r="V49" s="131"/>
      <c r="W49" s="132"/>
      <c r="X49" s="129"/>
      <c r="Y49" s="130"/>
      <c r="Z49" s="131"/>
      <c r="AA49" s="131"/>
      <c r="AB49" s="132"/>
      <c r="AC49" s="129"/>
      <c r="AD49" s="130"/>
      <c r="AE49" s="131"/>
      <c r="AF49" s="131"/>
      <c r="AG49" s="132"/>
      <c r="AH49" s="282">
        <f>1-SUM(AH45:AH48)</f>
        <v>0.32999999999999996</v>
      </c>
      <c r="AI49" s="282">
        <f>1-SUM(AI45:AI48)</f>
        <v>0.31999999999999995</v>
      </c>
      <c r="AJ49" s="282">
        <f>1-SUM(AJ45:AJ48)</f>
        <v>0.31000000000000005</v>
      </c>
      <c r="AK49" s="282">
        <f>1-SUM(AK45:AK48)</f>
        <v>0.30000000000000004</v>
      </c>
      <c r="AL49" s="132"/>
      <c r="AM49" s="282">
        <f t="shared" ref="AM49:AN49" si="13">1-SUM(AM45:AM48)</f>
        <v>0.30000000000000004</v>
      </c>
      <c r="AN49" s="282">
        <f t="shared" si="13"/>
        <v>0.29000000000000004</v>
      </c>
      <c r="AO49" s="282">
        <f>1-SUM(AO45:AO48)</f>
        <v>0.28000000000000003</v>
      </c>
      <c r="AP49" s="282">
        <f>1-SUM(AP45:AP48)</f>
        <v>0.28000000000000003</v>
      </c>
      <c r="AQ49" s="132"/>
      <c r="AR49" s="282">
        <f>1-SUM(AR45:AR48)</f>
        <v>0.27</v>
      </c>
      <c r="AS49" s="282">
        <f>1-SUM(AS45:AS48)</f>
        <v>0.24</v>
      </c>
      <c r="AT49" s="282">
        <f>1-SUM(AT45:AT48)</f>
        <v>1</v>
      </c>
      <c r="AU49" s="131"/>
      <c r="AV49" s="132"/>
      <c r="AW49" s="129"/>
      <c r="AX49" s="130"/>
      <c r="AY49" s="131"/>
      <c r="AZ49" s="131"/>
      <c r="BA49" s="132"/>
      <c r="BB49" s="129"/>
      <c r="BC49" s="130"/>
      <c r="BD49" s="131"/>
      <c r="BE49" s="131"/>
      <c r="BF49" s="132"/>
    </row>
    <row r="50" spans="2:58">
      <c r="B50" s="128"/>
      <c r="C50" s="128"/>
      <c r="D50" s="133"/>
      <c r="E50" s="133"/>
      <c r="F50" s="133"/>
      <c r="G50" s="133"/>
      <c r="H50" s="134"/>
      <c r="I50" s="133"/>
      <c r="J50" s="133"/>
      <c r="K50" s="133"/>
      <c r="L50" s="133"/>
      <c r="M50" s="134"/>
      <c r="N50" s="133"/>
      <c r="O50" s="133"/>
      <c r="P50" s="133"/>
      <c r="Q50" s="133"/>
      <c r="R50" s="134"/>
      <c r="S50" s="133"/>
      <c r="T50" s="133"/>
      <c r="U50" s="133"/>
      <c r="V50" s="133"/>
      <c r="W50" s="134"/>
      <c r="X50" s="133"/>
      <c r="Y50" s="133"/>
      <c r="Z50" s="133"/>
      <c r="AA50" s="133"/>
      <c r="AB50" s="134"/>
      <c r="AC50" s="133"/>
      <c r="AD50" s="133"/>
      <c r="AE50" s="133"/>
      <c r="AF50" s="133"/>
      <c r="AG50" s="134"/>
      <c r="AH50" s="133"/>
      <c r="AI50" s="133"/>
      <c r="AJ50" s="133"/>
      <c r="AK50" s="133"/>
      <c r="AL50" s="134"/>
      <c r="AM50" s="133"/>
      <c r="AN50" s="133"/>
      <c r="AQ50" s="134"/>
      <c r="AR50" s="133"/>
      <c r="AS50" s="133"/>
      <c r="AT50" s="133"/>
      <c r="AU50" s="133"/>
      <c r="AV50" s="134"/>
      <c r="AW50" s="133"/>
      <c r="AX50" s="133"/>
      <c r="AY50" s="133"/>
      <c r="AZ50" s="133"/>
      <c r="BA50" s="134"/>
      <c r="BB50" s="133"/>
      <c r="BC50" s="133"/>
      <c r="BD50" s="133"/>
      <c r="BE50" s="133"/>
      <c r="BF50" s="134"/>
    </row>
    <row r="51" spans="2:58">
      <c r="B51" s="128" t="s">
        <v>398</v>
      </c>
      <c r="C51" s="128"/>
      <c r="D51" s="135"/>
      <c r="E51" s="135"/>
      <c r="F51" s="135"/>
      <c r="G51" s="135"/>
      <c r="H51" s="132"/>
      <c r="I51" s="135"/>
      <c r="J51" s="135"/>
      <c r="K51" s="135"/>
      <c r="L51" s="135"/>
      <c r="M51" s="132"/>
      <c r="N51" s="135"/>
      <c r="O51" s="135"/>
      <c r="P51" s="135"/>
      <c r="Q51" s="135"/>
      <c r="R51" s="132"/>
      <c r="S51" s="135"/>
      <c r="T51" s="135"/>
      <c r="U51" s="135"/>
      <c r="V51" s="135"/>
      <c r="W51" s="132"/>
      <c r="X51" s="135"/>
      <c r="Y51" s="135"/>
      <c r="Z51" s="135"/>
      <c r="AA51" s="135"/>
      <c r="AB51" s="132"/>
      <c r="AC51" s="135"/>
      <c r="AD51" s="135"/>
      <c r="AE51" s="135"/>
      <c r="AF51" s="135"/>
      <c r="AG51" s="132"/>
      <c r="AH51" s="324"/>
      <c r="AI51" s="324"/>
      <c r="AJ51" s="324">
        <v>0.99</v>
      </c>
      <c r="AK51" s="324">
        <v>0.99</v>
      </c>
      <c r="AL51" s="132"/>
      <c r="AM51" s="324">
        <v>0.99</v>
      </c>
      <c r="AN51" s="324">
        <v>0.99</v>
      </c>
      <c r="AO51" s="324">
        <v>0.99</v>
      </c>
      <c r="AP51" s="325">
        <f>+AP17</f>
        <v>0.99</v>
      </c>
      <c r="AQ51" s="132"/>
      <c r="AR51" s="325">
        <f t="shared" ref="AR51:AT52" si="14">+AR17</f>
        <v>0.99</v>
      </c>
      <c r="AS51" s="325">
        <f t="shared" si="14"/>
        <v>0.99</v>
      </c>
      <c r="AT51" s="681" t="str">
        <f t="shared" si="14"/>
        <v xml:space="preserve">no longer </v>
      </c>
      <c r="AU51" s="135"/>
      <c r="AV51" s="132"/>
      <c r="AW51" s="135"/>
      <c r="AX51" s="135"/>
      <c r="AY51" s="135"/>
      <c r="AZ51" s="135"/>
      <c r="BA51" s="132"/>
      <c r="BB51" s="135"/>
      <c r="BC51" s="135"/>
      <c r="BD51" s="135"/>
      <c r="BE51" s="135"/>
      <c r="BF51" s="132"/>
    </row>
    <row r="52" spans="2:58">
      <c r="B52" s="206" t="s">
        <v>363</v>
      </c>
      <c r="C52" s="128"/>
      <c r="D52" s="135"/>
      <c r="E52" s="135"/>
      <c r="F52" s="135"/>
      <c r="G52" s="135"/>
      <c r="H52" s="132"/>
      <c r="I52" s="135"/>
      <c r="J52" s="135"/>
      <c r="K52" s="135"/>
      <c r="L52" s="135"/>
      <c r="M52" s="132"/>
      <c r="N52" s="135"/>
      <c r="O52" s="135"/>
      <c r="P52" s="135"/>
      <c r="Q52" s="135"/>
      <c r="R52" s="132"/>
      <c r="S52" s="135"/>
      <c r="T52" s="135"/>
      <c r="U52" s="135"/>
      <c r="V52" s="135"/>
      <c r="W52" s="132"/>
      <c r="X52" s="135"/>
      <c r="Y52" s="135"/>
      <c r="Z52" s="135"/>
      <c r="AA52" s="135"/>
      <c r="AB52" s="132"/>
      <c r="AC52" s="135"/>
      <c r="AD52" s="135"/>
      <c r="AE52" s="135"/>
      <c r="AF52" s="135"/>
      <c r="AG52" s="132"/>
      <c r="AH52" s="325"/>
      <c r="AI52" s="325"/>
      <c r="AJ52" s="325">
        <f t="shared" ref="AJ52:AK52" si="15">+AJ18</f>
        <v>0.99</v>
      </c>
      <c r="AK52" s="325">
        <f t="shared" si="15"/>
        <v>0.99</v>
      </c>
      <c r="AL52" s="132"/>
      <c r="AM52" s="325">
        <f t="shared" ref="AM52:AN52" si="16">+AM18</f>
        <v>0.99</v>
      </c>
      <c r="AN52" s="325">
        <f t="shared" si="16"/>
        <v>0.99</v>
      </c>
      <c r="AO52" s="325">
        <f>+AO18</f>
        <v>0.99</v>
      </c>
      <c r="AP52" s="325">
        <f>+AP18</f>
        <v>0.98</v>
      </c>
      <c r="AQ52" s="132"/>
      <c r="AR52" s="325">
        <f t="shared" si="14"/>
        <v>0.98</v>
      </c>
      <c r="AS52" s="325">
        <f t="shared" si="14"/>
        <v>0.98</v>
      </c>
      <c r="AT52" s="681" t="str">
        <f t="shared" si="14"/>
        <v>reporting</v>
      </c>
      <c r="AU52" s="135"/>
      <c r="AV52" s="132"/>
      <c r="AW52" s="135"/>
      <c r="AX52" s="135"/>
      <c r="AY52" s="135"/>
      <c r="AZ52" s="135"/>
      <c r="BA52" s="132"/>
      <c r="BB52" s="135"/>
      <c r="BC52" s="135"/>
      <c r="BD52" s="135"/>
      <c r="BE52" s="135"/>
      <c r="BF52" s="132"/>
    </row>
    <row r="53" spans="2:58">
      <c r="B53" s="206" t="s">
        <v>364</v>
      </c>
      <c r="C53" s="128"/>
      <c r="D53" s="135"/>
      <c r="E53" s="135"/>
      <c r="F53" s="135"/>
      <c r="G53" s="135"/>
      <c r="H53" s="132"/>
      <c r="I53" s="135"/>
      <c r="J53" s="135"/>
      <c r="K53" s="135"/>
      <c r="L53" s="135"/>
      <c r="M53" s="132"/>
      <c r="N53" s="135"/>
      <c r="O53" s="135"/>
      <c r="P53" s="135"/>
      <c r="Q53" s="135"/>
      <c r="R53" s="132"/>
      <c r="S53" s="135"/>
      <c r="T53" s="135"/>
      <c r="U53" s="135"/>
      <c r="V53" s="135"/>
      <c r="W53" s="132"/>
      <c r="X53" s="135"/>
      <c r="Y53" s="135"/>
      <c r="Z53" s="135"/>
      <c r="AA53" s="135"/>
      <c r="AB53" s="132"/>
      <c r="AC53" s="135"/>
      <c r="AD53" s="135"/>
      <c r="AE53" s="135"/>
      <c r="AF53" s="135"/>
      <c r="AG53" s="132"/>
      <c r="AH53" s="325"/>
      <c r="AI53" s="325"/>
      <c r="AJ53" s="325">
        <f t="shared" ref="AJ53:AK53" si="17">+AJ19</f>
        <v>0.97</v>
      </c>
      <c r="AK53" s="325">
        <f t="shared" si="17"/>
        <v>0.97</v>
      </c>
      <c r="AL53" s="132"/>
      <c r="AM53" s="325">
        <f t="shared" ref="AM53:AO53" si="18">+AM19</f>
        <v>0.97</v>
      </c>
      <c r="AN53" s="325">
        <f t="shared" si="18"/>
        <v>0.97</v>
      </c>
      <c r="AO53" s="325">
        <f t="shared" si="18"/>
        <v>0.97</v>
      </c>
      <c r="AP53" s="325">
        <f t="shared" ref="AP53:AR53" si="19">+AP19</f>
        <v>0.97</v>
      </c>
      <c r="AQ53" s="132"/>
      <c r="AR53" s="325">
        <f t="shared" si="19"/>
        <v>0.97</v>
      </c>
      <c r="AS53" s="325">
        <f t="shared" ref="AS53:AT53" si="20">+AS19</f>
        <v>0.97</v>
      </c>
      <c r="AT53" s="681" t="str">
        <f t="shared" si="20"/>
        <v>Retention or</v>
      </c>
      <c r="AU53" s="135"/>
      <c r="AV53" s="132"/>
      <c r="AW53" s="135"/>
      <c r="AX53" s="135"/>
      <c r="AY53" s="135"/>
      <c r="AZ53" s="135"/>
      <c r="BA53" s="132"/>
      <c r="BB53" s="135"/>
      <c r="BC53" s="135"/>
      <c r="BD53" s="135"/>
      <c r="BE53" s="135"/>
      <c r="BF53" s="132"/>
    </row>
    <row r="54" spans="2:58">
      <c r="B54" s="206" t="s">
        <v>365</v>
      </c>
      <c r="C54" s="128"/>
      <c r="D54" s="135"/>
      <c r="E54" s="135"/>
      <c r="F54" s="135"/>
      <c r="G54" s="135"/>
      <c r="H54" s="132"/>
      <c r="I54" s="135"/>
      <c r="J54" s="135"/>
      <c r="K54" s="135"/>
      <c r="L54" s="135"/>
      <c r="M54" s="132"/>
      <c r="N54" s="135"/>
      <c r="O54" s="135"/>
      <c r="P54" s="135"/>
      <c r="Q54" s="135"/>
      <c r="R54" s="132"/>
      <c r="S54" s="135"/>
      <c r="T54" s="135"/>
      <c r="U54" s="135"/>
      <c r="V54" s="135"/>
      <c r="W54" s="132"/>
      <c r="X54" s="135"/>
      <c r="Y54" s="135"/>
      <c r="Z54" s="135"/>
      <c r="AA54" s="135"/>
      <c r="AB54" s="132"/>
      <c r="AC54" s="135"/>
      <c r="AD54" s="135"/>
      <c r="AE54" s="135"/>
      <c r="AF54" s="135"/>
      <c r="AG54" s="132"/>
      <c r="AH54" s="325"/>
      <c r="AI54" s="325"/>
      <c r="AJ54" s="325">
        <f t="shared" ref="AJ54:AK54" si="21">+AJ20</f>
        <v>0.92</v>
      </c>
      <c r="AK54" s="325">
        <f t="shared" si="21"/>
        <v>0.91</v>
      </c>
      <c r="AL54" s="132"/>
      <c r="AM54" s="325">
        <f t="shared" ref="AM54:AO54" si="22">+AM20</f>
        <v>0.91</v>
      </c>
      <c r="AN54" s="325">
        <f t="shared" si="22"/>
        <v>0.91</v>
      </c>
      <c r="AO54" s="325">
        <f t="shared" si="22"/>
        <v>0.91</v>
      </c>
      <c r="AP54" s="325">
        <f t="shared" ref="AP54:AR54" si="23">+AP20</f>
        <v>0.94</v>
      </c>
      <c r="AQ54" s="132"/>
      <c r="AR54" s="325">
        <f t="shared" si="23"/>
        <v>0.94</v>
      </c>
      <c r="AS54" s="325">
        <f t="shared" ref="AS54:AT54" si="24">+AS20</f>
        <v>0.94</v>
      </c>
      <c r="AT54" s="681" t="str">
        <f t="shared" si="24"/>
        <v>product count</v>
      </c>
      <c r="AU54" s="135"/>
      <c r="AV54" s="132"/>
      <c r="AW54" s="135"/>
      <c r="AX54" s="135"/>
      <c r="AY54" s="135"/>
      <c r="AZ54" s="135"/>
      <c r="BA54" s="132"/>
      <c r="BB54" s="135"/>
      <c r="BC54" s="135"/>
      <c r="BD54" s="135"/>
      <c r="BE54" s="135"/>
      <c r="BF54" s="132"/>
    </row>
    <row r="55" spans="2:58">
      <c r="B55" s="128" t="s">
        <v>399</v>
      </c>
      <c r="AH55" s="324"/>
      <c r="AI55" s="324"/>
      <c r="AJ55" s="324">
        <v>0.85</v>
      </c>
      <c r="AK55" s="324">
        <v>0.85</v>
      </c>
      <c r="AM55" s="324">
        <v>0.85</v>
      </c>
      <c r="AN55" s="324">
        <v>0.85</v>
      </c>
      <c r="AO55" s="324">
        <v>0.85</v>
      </c>
      <c r="AP55" s="324">
        <v>0.9</v>
      </c>
      <c r="AR55" s="324">
        <v>0.9</v>
      </c>
      <c r="AS55" s="324">
        <v>0.9</v>
      </c>
      <c r="AT55" s="324">
        <v>0.9</v>
      </c>
    </row>
    <row r="56" spans="2:58" ht="13.15">
      <c r="B56" s="136"/>
      <c r="C56" s="137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</row>
    <row r="57" spans="2:58" ht="13.15">
      <c r="B57" s="136" t="s">
        <v>400</v>
      </c>
      <c r="C57" s="137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>
        <f>SUMPRODUCT(AJ51:AJ55,AJ45:AJ49)</f>
        <v>0.92179999999999995</v>
      </c>
      <c r="AK57" s="139">
        <f>SUMPRODUCT(AK51:AK55,AK45:AK49)</f>
        <v>0.92079999999999995</v>
      </c>
      <c r="AL57" s="139"/>
      <c r="AM57" s="139">
        <f>SUMPRODUCT(AM51:AM55,AM45:AM49)</f>
        <v>0.92159999999999986</v>
      </c>
      <c r="AN57" s="139">
        <f>SUMPRODUCT(AN51:AN55,AN45:AN49)</f>
        <v>0.92380000000000007</v>
      </c>
      <c r="AO57" s="139">
        <f>SUMPRODUCT(AO51:AO55,AO45:AO49)</f>
        <v>0.92599999999999993</v>
      </c>
      <c r="AP57" s="139">
        <f>SUMPRODUCT(AP51:AP55,AP45:AP49)</f>
        <v>0.94750000000000001</v>
      </c>
      <c r="AQ57" s="139"/>
      <c r="AR57" s="139">
        <f>SUMPRODUCT(AR51:AR55,AR45:AR49)</f>
        <v>0.94919999999999993</v>
      </c>
      <c r="AS57" s="139">
        <f>SUMPRODUCT(AS51:AS55,AS45:AS49)</f>
        <v>0.95279999999999998</v>
      </c>
      <c r="AT57" s="675">
        <f>SUMPRODUCT(AT51:AT55,AT45:AT49)</f>
        <v>0.9</v>
      </c>
      <c r="AU57" s="139"/>
      <c r="AV57" s="139"/>
      <c r="AW57" s="139"/>
      <c r="AX57" s="139"/>
      <c r="AY57" s="139"/>
      <c r="AZ57" s="139"/>
      <c r="BA57" s="139"/>
      <c r="BB57" s="139"/>
      <c r="BC57" s="139"/>
      <c r="BD57" s="139"/>
      <c r="BE57" s="139"/>
      <c r="BF57" s="139"/>
    </row>
    <row r="58" spans="2:58">
      <c r="C58" s="140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139"/>
      <c r="AN58" s="139"/>
      <c r="AO58" s="139"/>
      <c r="AP58" s="139"/>
      <c r="AQ58" s="139"/>
      <c r="AR58" s="139"/>
      <c r="AS58" s="139"/>
      <c r="AT58" s="139"/>
      <c r="AU58" s="139"/>
      <c r="AV58" s="139"/>
      <c r="AW58" s="139"/>
      <c r="AX58" s="139"/>
      <c r="AY58" s="139"/>
      <c r="AZ58" s="139"/>
      <c r="BA58" s="139"/>
      <c r="BB58" s="139"/>
      <c r="BC58" s="139"/>
      <c r="BD58" s="139"/>
      <c r="BE58" s="139"/>
      <c r="BF58" s="139"/>
    </row>
    <row r="59" spans="2:58">
      <c r="C59" s="140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AZ59" s="139"/>
      <c r="BA59" s="139"/>
      <c r="BB59" s="139"/>
      <c r="BC59" s="139"/>
      <c r="BD59" s="139"/>
      <c r="BE59" s="139"/>
      <c r="BF59" s="139"/>
    </row>
    <row r="60" spans="2:58">
      <c r="B60" s="140"/>
      <c r="C60" s="140"/>
      <c r="D60" s="141"/>
      <c r="E60" s="141"/>
      <c r="F60" s="141"/>
      <c r="G60" s="141"/>
      <c r="I60" s="141"/>
      <c r="J60" s="141"/>
      <c r="K60" s="141"/>
      <c r="L60" s="141"/>
      <c r="N60" s="141"/>
      <c r="O60" s="141"/>
      <c r="P60" s="141"/>
      <c r="Q60" s="141"/>
      <c r="S60" s="141"/>
      <c r="T60" s="141"/>
      <c r="U60" s="141"/>
      <c r="V60" s="141"/>
      <c r="X60" s="141"/>
      <c r="Y60" s="141"/>
      <c r="Z60" s="141"/>
      <c r="AA60" s="141"/>
      <c r="AC60" s="141"/>
      <c r="AD60" s="141"/>
      <c r="AE60" s="141"/>
      <c r="AF60" s="141"/>
      <c r="AH60" s="141"/>
      <c r="AI60" s="141"/>
      <c r="AJ60" s="141"/>
      <c r="AK60" s="141"/>
      <c r="AM60" s="141"/>
      <c r="AN60" s="141"/>
      <c r="AO60" s="141"/>
      <c r="AP60" s="141"/>
      <c r="AR60" s="141"/>
      <c r="AS60" s="141"/>
      <c r="AT60" s="141"/>
      <c r="AU60" s="141"/>
      <c r="AW60" s="141"/>
      <c r="AX60" s="141"/>
      <c r="AY60" s="141"/>
      <c r="AZ60" s="141"/>
      <c r="BB60" s="141"/>
      <c r="BC60" s="141"/>
      <c r="BD60" s="141"/>
      <c r="BE60" s="141"/>
    </row>
    <row r="62" spans="2:58" ht="13.15">
      <c r="B62" s="140"/>
      <c r="C62" s="137"/>
      <c r="D62" s="138"/>
      <c r="E62" s="138"/>
      <c r="F62" s="138"/>
      <c r="G62" s="138"/>
      <c r="H62" s="142"/>
      <c r="I62" s="138"/>
      <c r="J62" s="138"/>
      <c r="K62" s="138"/>
      <c r="L62" s="138"/>
      <c r="M62" s="142"/>
      <c r="N62" s="138"/>
      <c r="O62" s="138"/>
      <c r="P62" s="138"/>
      <c r="Q62" s="138"/>
      <c r="R62" s="142"/>
      <c r="S62" s="138"/>
      <c r="T62" s="138"/>
      <c r="U62" s="138"/>
      <c r="V62" s="138"/>
      <c r="W62" s="142"/>
      <c r="X62" s="138"/>
      <c r="Y62" s="138"/>
      <c r="Z62" s="138"/>
      <c r="AA62" s="138"/>
      <c r="AB62" s="142"/>
      <c r="AC62" s="138"/>
      <c r="AD62" s="138"/>
      <c r="AE62" s="138"/>
      <c r="AF62" s="138"/>
      <c r="AG62" s="142"/>
      <c r="AH62" s="138"/>
      <c r="AI62" s="138"/>
      <c r="AJ62" s="138"/>
      <c r="AK62" s="138"/>
      <c r="AL62" s="142"/>
      <c r="AM62" s="138"/>
      <c r="AN62" s="138"/>
      <c r="AO62" s="138"/>
      <c r="AP62" s="138"/>
      <c r="AQ62" s="142"/>
      <c r="AR62" s="138"/>
      <c r="AS62" s="138"/>
      <c r="AT62" s="138"/>
      <c r="AU62" s="138"/>
      <c r="AV62" s="142"/>
      <c r="AW62" s="138"/>
      <c r="AX62" s="138"/>
      <c r="AY62" s="138"/>
      <c r="AZ62" s="138"/>
      <c r="BA62" s="142"/>
      <c r="BB62" s="138"/>
      <c r="BC62" s="138"/>
      <c r="BD62" s="138"/>
      <c r="BE62" s="138"/>
      <c r="BF62" s="142"/>
    </row>
    <row r="63" spans="2:58" ht="13.15">
      <c r="B63" s="136"/>
      <c r="C63" s="137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  <c r="BD63" s="143"/>
      <c r="BE63" s="143"/>
      <c r="BF63" s="143"/>
    </row>
    <row r="64" spans="2:58">
      <c r="C64" s="140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  <c r="AA64" s="139"/>
      <c r="AB64" s="139"/>
      <c r="AC64" s="139"/>
      <c r="AD64" s="139"/>
      <c r="AE64" s="139"/>
      <c r="AF64" s="139"/>
      <c r="AG64" s="139"/>
      <c r="AH64" s="139"/>
      <c r="AI64" s="139"/>
      <c r="AJ64" s="139"/>
      <c r="AK64" s="139"/>
      <c r="AL64" s="139"/>
      <c r="AM64" s="139"/>
      <c r="AN64" s="139"/>
      <c r="AO64" s="139"/>
      <c r="AP64" s="139"/>
      <c r="AQ64" s="139"/>
      <c r="AR64" s="139"/>
      <c r="AS64" s="139"/>
      <c r="AT64" s="139"/>
      <c r="AU64" s="139"/>
      <c r="AV64" s="139"/>
      <c r="AW64" s="139"/>
      <c r="AX64" s="139"/>
      <c r="AY64" s="139"/>
      <c r="AZ64" s="139"/>
      <c r="BA64" s="139"/>
      <c r="BB64" s="139"/>
      <c r="BC64" s="139"/>
      <c r="BD64" s="139"/>
      <c r="BE64" s="139"/>
      <c r="BF64" s="139"/>
    </row>
    <row r="65" spans="2:58">
      <c r="C65" s="140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  <c r="AK65" s="139"/>
      <c r="AL65" s="139"/>
      <c r="AM65" s="139"/>
      <c r="AN65" s="139"/>
      <c r="AO65" s="139"/>
      <c r="AP65" s="139"/>
      <c r="AQ65" s="139"/>
      <c r="AR65" s="139"/>
      <c r="AS65" s="139"/>
      <c r="AT65" s="139"/>
      <c r="AU65" s="139"/>
      <c r="AV65" s="139"/>
      <c r="AW65" s="139"/>
      <c r="AX65" s="139"/>
      <c r="AY65" s="139"/>
      <c r="AZ65" s="139"/>
      <c r="BA65" s="139"/>
      <c r="BB65" s="139"/>
      <c r="BC65" s="139"/>
      <c r="BD65" s="139"/>
      <c r="BE65" s="139"/>
      <c r="BF65" s="139"/>
    </row>
    <row r="67" spans="2:58">
      <c r="B67" s="144"/>
      <c r="C67" s="144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  <c r="AK67" s="145"/>
      <c r="AL67" s="145"/>
      <c r="AM67" s="145"/>
      <c r="AN67" s="145"/>
      <c r="AO67" s="145"/>
      <c r="AP67" s="145"/>
      <c r="AQ67" s="145"/>
      <c r="AR67" s="145"/>
      <c r="AS67" s="145"/>
      <c r="AT67" s="145"/>
      <c r="AU67" s="145"/>
      <c r="AV67" s="145"/>
      <c r="AW67" s="145"/>
      <c r="AX67" s="145"/>
      <c r="AY67" s="145"/>
      <c r="AZ67" s="145"/>
      <c r="BA67" s="145"/>
      <c r="BB67" s="145"/>
      <c r="BC67" s="145"/>
      <c r="BD67" s="145"/>
      <c r="BE67" s="145"/>
      <c r="BF67" s="145"/>
    </row>
    <row r="68" spans="2:58">
      <c r="B68" s="144"/>
      <c r="C68" s="144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6"/>
      <c r="AM68" s="146"/>
      <c r="AN68" s="146"/>
      <c r="AO68" s="146"/>
      <c r="AP68" s="146"/>
      <c r="AQ68" s="146"/>
      <c r="AR68" s="146"/>
      <c r="AS68" s="146"/>
      <c r="AT68" s="146"/>
      <c r="AU68" s="146"/>
      <c r="AV68" s="146"/>
      <c r="AW68" s="146"/>
      <c r="AX68" s="146"/>
      <c r="AY68" s="146"/>
      <c r="AZ68" s="146"/>
      <c r="BA68" s="146"/>
      <c r="BB68" s="146"/>
      <c r="BC68" s="146"/>
      <c r="BD68" s="146"/>
      <c r="BE68" s="146"/>
      <c r="BF68" s="146"/>
    </row>
    <row r="70" spans="2:58">
      <c r="B70" s="144"/>
      <c r="C70" s="144"/>
    </row>
    <row r="71" spans="2:58">
      <c r="B71" s="144"/>
      <c r="C71" s="144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  <c r="AN71" s="147"/>
      <c r="AO71" s="147"/>
      <c r="AP71" s="147"/>
      <c r="AQ71" s="147"/>
      <c r="AR71" s="147"/>
      <c r="AS71" s="147"/>
      <c r="AT71" s="147"/>
      <c r="AU71" s="147"/>
      <c r="AV71" s="147"/>
      <c r="AW71" s="147"/>
      <c r="AX71" s="147"/>
      <c r="AY71" s="147"/>
      <c r="AZ71" s="147"/>
      <c r="BA71" s="147"/>
      <c r="BB71" s="147"/>
      <c r="BC71" s="147"/>
      <c r="BD71" s="147"/>
      <c r="BE71" s="147"/>
      <c r="BF71" s="147"/>
    </row>
    <row r="72" spans="2:58">
      <c r="B72" s="144"/>
      <c r="C72" s="144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</row>
    <row r="78" spans="2:58">
      <c r="F78" s="149"/>
      <c r="K78" s="149"/>
      <c r="P78" s="149"/>
      <c r="U78" s="149"/>
      <c r="Z78" s="149"/>
      <c r="AE78" s="149"/>
      <c r="AJ78" s="149"/>
      <c r="AO78" s="149"/>
      <c r="AT78" s="149"/>
      <c r="AY78" s="149"/>
      <c r="BD78" s="149"/>
    </row>
    <row r="82" spans="2:3">
      <c r="B82" s="808"/>
      <c r="C82" s="808"/>
    </row>
    <row r="83" spans="2:3">
      <c r="B83" s="808"/>
      <c r="C83" s="808"/>
    </row>
  </sheetData>
  <mergeCells count="2">
    <mergeCell ref="B82:C82"/>
    <mergeCell ref="B83:C83"/>
  </mergeCells>
  <pageMargins left="0.5" right="0.5" top="1" bottom="1" header="0.5" footer="0.5"/>
  <pageSetup scale="75" orientation="landscape" r:id="rId1"/>
  <headerFooter alignWithMargins="0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"/>
  <sheetViews>
    <sheetView workbookViewId="0"/>
  </sheetViews>
  <sheetFormatPr defaultRowHeight="14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46571674"><![CDATA[{"QLYS-US^FE_ESTIMATE(NET_INC_REP,MEAN,QUARTERLY,-2,NOW,,,'')":2.857,"QLYS-US^FE_ESTIMATE(NET_INC_REP,MEAN,ANNUAL,0,NOW,,,'')":40.44,"QLYS-US^FE_ESTIMATE(NET_INC_REP,MEAN,QUARTERLY,-1,NOW,,,'')":9.142,"QLYS-US^FE_ESTIMATE(NET_INC_REP,MEAN,QUARTERLY,0,NOW,,,'')":10.293,"QLYS-US^FE_ESTIMATE(NET_INC_REP,MEAN,QUARTERLY,+1,NOW,,,'')":8.469,"QLYS-US^FE_ESTIMATE(NET_INC_REP,MEAN,QUARTERLY,+2,NOW,,,'')":7.762,"QLYS-US^FE_ESTIMATE(NET_INC_REP,MEAN,ANNUAL,+1,NOW,,,'')":37.2757,"QLYS-US^FE_ESTIMATE(DEP_AMORT_EXP,MEAN,QUARTERLY,+1,NOW,,,'')":6.3898,"QLYS-US^FE_ESTIMATE(DEP_AMORT_EXP,MEAN,QUARTERLY,+2,NOW,,,'')":6.4968,"QLYS-US^FE_ESTIMATE(DEP_AMORT_EXP,MEAN,ANNUAL,+1,NOW,,,'')":26.765333,"QLYS-US^FE_ESTIMATE(INT_EXP,MEAN,QUARTERLY,-1,NOW,,,'')":0.025333334,"QLYS-US^FE_ESTIMATE(INT_EXP,MEAN,QUARTERLY,0,NOW,,,'')":0.0385,"QLYS-US^FE_ESTIMATE(INT_EXP,MEAN,QUARTERLY,+1,NOW,,,'')":0.038,"QLYS-US^FE_ESTIMATE(INT_EXP,MEAN,QUARTERLY,+2,NOW,,,'')":0.038,"QLYS-US^FE_ESTIMATE(INT_EXP,MEAN,ANNUAL,+1,NOW,,,'')":0.1145,"QLYS-US^FE_ESTIMATE(INC_TAX,MEAN,QUARTERLY,-2,NOW,,,'')":6.287,"QLYS-US^FE_ESTIMATE(INC_TAX,MEAN,ANNUAL,0,NOW,,,'')":23.373167,"QLYS-US^FE_ESTIMATE(INC_TAX,MEAN,QUARTERLY,-1,NOW,,,'')":4.080091,"QLYS-US^FE_ESTIMATE(INC_TAX,MEAN,QUARTERLY,0,NOW,,,'')":4.8307776,"QLYS-US^FE_ESTIMATE(INC_TAX,MEAN,QUARTERLY,+1,NOW,,,'')":4.8972,"QLYS-US^FE_ESTIMATE(INC_TAX,MEAN,QUARTERLY,+2,NOW,,,'')":4.7179,"QLYS-US^FE_ESTIMATE(INC_TAX,MEAN,ANNUAL,+1,NOW,,,'')":18.992445,"QLYS-US^FE_ESTIMATE(NET_INC_REP,MEAN,ANNUAL,+2,NOW,,,'')":44.1436,"QLYS-US^FE_ESTIMATE(DEP_AMORT_EXP,MEAN,ANNUAL,+2,NOW,,,'')":29.087166,"QLYS-US^FE_ESTIMATE(INT_EXP,MEAN,ANNUAL,+2,NOW,,,'')":0.152,"QLYS-US^FE_ESTIMATE(INC_TAX,MEAN,ANNUAL,+2,NOW,,,'')":22.6813,"QLYS-US^FE_ESTIMATE(NET_INC_REP,MEAN,ANNUAL,+3,NOW,,,'')":58.0329,"QLYS-US^FE_ESTIMATE(DEP_AMORT_EXP,MEAN,ANNUAL,+3,NOW,,,'')":37.0,"QLYS-US^FE_ESTIMATE(INT_EXP,MEAN,ANNUAL,+3,NOW,,,'')":null,"QLYS-US^FE_ESTIMATE(INC_TAX,MEAN,ANNUAL,+3,NOW,,,'')":28.3,"QLYS-US^FE_ESTIMATE(EBITDA_ADJ,MEAN,QUARTERLY,-2,NOW,,,'')":23.825834,"QLYS-US^FE_ESTIMATE(EBITDA_ADJ,MEAN,ANNUAL,0,NOW,,,'')":84.941,"QLYS-US^FE_ESTIMATE(EBITDA_ADJ,MEAN,QUARTERLY,-1,NOW,,,'')":24.83743,"QLYS-US^FE_ESTIMATE(EBITDA_ADJ,MEAN,QUARTERLY,0,NOW,,,'')":26.5185,"QLYS-US^FE_ESTIMATE(EBITDA_ADJ,MEAN,QUARTERLY,+1,NOW,,,'')":27.062,"QLYS-US^FE_ESTIMATE(EBITDA_ADJ,MEAN,QUARTERLY,+2,NOW,,,'')":26.727833,"QLYS-US^FE_ESTIMATE(EBITDA_ADJ,MEAN,ANNUAL,+1,NOW,,,'')":104.93816,"QLYS-US^FE_ESTIMATE(EBITDA_ADJ,MEAN,QUARTERLY,+3,NOW,,,'')":30.1,"QLYS-US^FE_ESTIMATE(EBITDA_ADJ,MEAN,QUARTERLY,+4,NOW,,,'')":32.2,"QLYS-US^FE_ESTIMATE(EBITDA_ADJ,MEAN,QUARTERLY,+5,NOW,,,'')":32.2,"QLYS-US^FE_ESTIMATE(EBITDA_ADJ,MEAN,QUARTERLY,+6,NOW,,,'')":33.7,"QLYS-US^FE_ESTIMATE(EBITDA_ADJ,MEAN,ANNUAL,+2,NOW,,,'')":125.66783,"QLYS-US^FE_ESTIMATE(EBITDA_ADJ,MEAN,QUARTERLY,+7,NOW,,,'')":null,"QLYS-US^FE_ESTIMATE(EBITDA_ADJ,MEAN,QUARTERLY,+8,NOW,,,'')":null,"QLYS-US^FE_ESTIMATE(EBITDA_ADJ,MEAN,QUARTERLY,+9,NOW,,,'')":null,"QLYS-US^FE_ESTIMATE(EBITDA_ADJ,MEAN,QUARTERLY,+10,NOW,,,'')":null,"QLYS-US^FE_ESTIMATE(EBITDA_ADJ,MEAN,ANNUAL,+3,NOW,,,'')":161.0,"QLYS-US^FE_ESTIMATE(CF_INV,MEAN,QUARTERLY,-2,NOW,,,'')":-34.9956,"QLYS-US^FE_ESTIMATE(CF_INV,MEAN,ANNUAL,0,NOW,,,'')":-118.165,"QLYS-US^FE_ESTIMATE(CF_INV,MEAN,QUARTERLY,-1,NOW,,,'')":-38.09525,"QLYS-US^FE_ESTIMATE(CF_INV,MEAN,QUARTERLY,0,NOW,,,'')":-12.0025,"QLYS-US^FE_ESTIMATE(CF_INV,MEAN,QUARTERLY,+1,NOW,,,'')":-9.75,"QLYS-US^FE_ESTIMATE(CF_INV,MEAN,QUARTERLY,+2,NOW,,,'')":-5.03,"QLYS-US^FE_ESTIMATE(CF_INV,MEAN,ANNUAL,+1,NOW,,,'')":-63.5135,"QLYS-US^FE_ESTIMATE(CF_FIN,MEAN,QUARTERLY,-2,NOW,,,'')":5.199,"QLYS-US^FE_ESTIMATE(CF_FIN,MEAN,ANNUAL,0,NOW,,,'')":10.3206,"QLYS-US^FE_ESTIMATE(CF_FIN,MEAN,QUARTERLY,-1,NOW,,,'')":1.69375,"QLYS-US^FE_ESTIMATE(CF_FIN,MEAN,QUARTERLY,0,NOW,,,'')":-18.593,"QLYS-US^FE_ESTIMATE(CF_FIN,MEAN,QUARTERLY,+1,NOW,,,'')":0.0,"QLYS-US^FE_ESTIMATE(CF_FIN,MEAN,QUARTERLY,+2,NOW,,,'')":0.0,"QLYS-US^FE_ESTIMATE(CF_FIN,MEAN,ANNUAL,+1,NOW,,,'')":-12.284,"QLYS-US^FE_ESTIMATE(CF_INV,MEAN,ANNUAL,+2,NOW,,,'')":-29.10475,"QLYS-US^FE_ESTIMATE(CF_FIN,MEAN,ANNUAL,+2,NOW,,,'')":0.0,"QLYS-US^FE_ESTIMATE(CF_OP,MEAN,QUARTERLY,-2,NOW,,,'')":25.885334,"QLYS-US^FE_ESTIMATE(CF_OP,MEAN,ANNUAL,0,NOW,,,'')":107.66489,"QLYS-US^FE_ESTIMATE(CF_OP,MEAN,QUARTERLY,-1,NOW,,,'')":42.995285,"QLYS-US^FE_ESTIMATE(CF_OP,MEAN,QUARTERLY,0,NOW,,,'')":24.2228,"QLYS-US^FE_ESTIMATE(CF_OP,MEAN,QUARTERLY,+1,NOW,,,'')":29.925167,"QLYS-US^FE_ESTIMATE(CF_OP,MEAN,QUARTERLY,+2,NOW,,,'')":24.621,"QLYS-US^FE_ESTIMATE(CF_OP,MEAN,ANNUAL,+1,NOW,,,'')":123.09985,"QLYS-US^FE_ESTIMATE(CF_OP,MEAN,QUARTERLY,+3,NOW,,,'')":42.745335,"QLYS-US^FE_ESTIMATE(CF_OP,MEAN,QUARTERLY,+4,NOW,,,'')":27.028334,"QLYS-US^FE_ESTIMATE(CF_OP,MEAN,QUARTERLY,+5,NOW,,,'')":34.528667,"QLYS-US^FE_ESTIMATE(CF_OP,MEAN,QUARTERLY,+6,NOW,,,'')":31.339666,"QLYS-US^FE_ESTIMATE(CF_OP,MEAN,ANNUAL,+2,NOW,,,'')":141.00629,"QLYS-US^FE_ESTIMATE(CF_OP,MEAN,QUARTERLY,+7,NOW,,,'')":null,"QLYS-US^FE_ESTIMATE(CF_OP,MEAN,QUARTERLY,+8,NOW,,,'')":null,"QLYS-US^FE_ESTIMATE(CF_OP,MEAN,QUARTERLY,+9,NOW,,,'')":null,"QLYS-US^FE_ESTIMATE(CF_OP,MEAN,QUARTERLY,+10,NOW,,,'')":null,"QLYS-US^FE_ESTIMATE(CF_OP,MEAN,ANNUAL,+3,NOW,,,'')":200.0,"QLYS-US^FE_ESTIMATE(CF_INV,MEAN,ANNUAL,+3,NOW,,,'')":-34.0,"QLYS-US^FE_ESTIMATE(CF_FIN,MEAN,ANNUAL,+3,NOW,,,'')":0.0,"QLYS-US^FE_ESTIMATE(FCF,MEAN,QUARTERLY,-2,NOW,,,'')":14.6536665,"QLYS-US^FE_ESTIMATE(FCF,MEAN,ANNUAL,0,NOW,,,'')":69.63155,"QLYS-US^FE_ESTIMATE(FCF,MEAN,QUARTERLY,-1,NOW,,,'')":36.596375,"QLYS-US^FE_ESTIMATE(FCF,MEAN,QUARTERLY,0,NOW,,,'')":17.196667,"QLYS-US^FE_ESTIMATE(FCF,MEAN,QUARTERLY,+1,NOW,,,'')":21.553167,"QLYS-US^FE_ESTIMATE(FCF,MEAN,QUARTERLY,+2,NOW,,,'')":19.716333,"QLYS-US^FE_ESTIMATE(FCF,MEAN,ANNUAL,+1,NOW,,,'')":94.766,"QLYS-US^FE_ESTIMATE(FCF,MEAN,QUARTERLY,+3,NOW,,,'')":35.995335,"QLYS-US^FE_ESTIMATE(FCF,MEAN,QUARTERLY,+4,NOW,,,'')":20.278334,"QLYS-US^FE_ESTIMATE(FCF,MEAN,QUARTERLY,+5,NOW,,,'')":27.778667,"QLYS-US^FE_ESTIMATE(FCF,MEAN,QUARTERLY,+6,NOW,,,'')":24.589666,"QLYS-US^FE_ESTIMATE(FCF,MEAN,ANNUAL,+2,NOW,,,'')":114.87114,"QLYS-US^FE_ESTIMATE(FCF,MEAN,QUARTERLY,+7,NOW,,,'')":null,"QLYS-US^FE_ESTIMATE(FCF,MEAN,QUARTERLY,+8,NOW,,,'')":null,"QLYS-US^FE_ESTIMATE(FCF,MEAN,QUARTERLY,+9,NOW,,,'')":null,"QLYS-US^FE_ESTIMATE(FCF,MEAN,QUARTERLY,+10,NOW,,,'')":null,"QLYS-US^FE_ESTIMATE(FCF,MEAN,ANNUAL,+3,NOW,,,'')":161.0,"QLYS-US^FE_ESTIMATE(GW_TOT,MEAN,QUARTERLY,-2,NOW,,,'')":1.549,"QLYS-US^FE_ESTIMATE(GW_TOT,MEAN,ANNUAL,0,NOW,,,'')":1.549,"QLYS-US^FE_ESTIMATE(INTANG,MEAN,QUARTERLY,-2,NOW,,,'')":12.4005,"QLYS-US^FE_ESTIMATE(INTANG,MEAN,ANNUAL,0,NOW,,,'')":12.400666,"QLYS-US^FE_ESTIMATE(RECEIV_NET,MEAN,QUARTERLY,-2,NOW,,,'')":64.403,"QLYS-US^FE_ESTIMATE(RECEIV_NET,MEAN,ANNUAL,0,NOW,,,'')":64.33733,"QLYS-US^FE_ESTIMATE(RECEIV_NET,MEAN,QUARTERLY,-1,NOW,,,'')":49.8896,"QLYS-US^FE_ESTIMATE(RECEIV_NET,MEAN,QUARTERLY,0,NOW,,,'')":53.073666,"QLYS-US^FE_ESTIMATE(RECEIV_NET,MEAN,QUARTERLY,+1,NOW,,,'')":55.698666,"QLYS-US^FE_ESTIMATE(RECEIV_NET,MEAN,QUARTERLY,+2,NOW,,,'')":65.145,"QLYS-US^FE_ESTIMATE(RECEIV_NET,MEAN,ANNUAL,+1,NOW,,,'')":65.10875,"QLYS-US^FE_ESTIMATE(GW_TOT,MEAN,ANNUAL,+1,NOW,,,'')":1.699,"QLYS-US^FE_ESTIMATE(INTANG,MEAN,ANNUAL,+1,NOW,,,'')":11.5925,"QLYS-US^FE_ESTIMATE(PAY_ACCT,MEAN,QUARTERLY,-2,NOW,,,'')":1.1146667,"QLYS-US^FE_ESTIMATE(PAY_ACCT,MEAN,ANNUAL,0,NOW,,,'')":1.0976,"QLYS-US^FE_ESTIMATE(PAY_ACCT,MEAN,QUARTERLY,-1,NOW,,,'')":1.305,"QLYS-US^FE_ESTIMATE(PAY_ACCT,MEAN,QUARTERLY,0,NOW,,,'')":1.4836667,"QLYS-US^FE_ESTIMATE(PAY_ACCT,MEAN,QUARTERLY,+1,NOW,,,'')":2.498,"QLYS-US^FE_ESTIMATE(PAY_ACCT,MEAN,QUARTERLY,+2,NOW,,,'')":2.5973334,"QLYS-US^FE_ESTIMATE(PAY_ACCT,MEAN,ANNUAL,+1,NOW,,,'')":2.448,"QLYS-US^FE_ESTIMATE(DEFREVENUE_ST,MEAN,QUARTERLY,-2,NOW,,,'')":143.1965,"QLYS-US^FE_ESTIMATE(DEFREVENUE_ST,MEAN,ANNUAL,0,NOW,,,'')":143.1944,"QLYS-US^FE_ESTIMATE(DEFREVENUE_ST,MEAN,QUARTERLY,-1,NOW,,,'')":147.6824,"QLYS-US^FE_ESTIMATE(DEFREVENUE_ST,MEAN,QUARTERLY,0,NOW,,,'')":151.58333,"QLYS-US^FE_ESTIMATE(DEFREVENUE_ST,MEAN,QUARTERLY,+1,NOW,,,'')":159.07933,"QLYS-US^FE_ESTIMATE(DEFREVENUE_ST,MEAN,QUARTERLY,+2,NOW,,,'')":171.777,"QLYS-US^FE_ESTIMATE(DEFREVENUE_ST,MEAN,ANNUAL,+1,NOW,,,'')":171.777,"QLYS-US^FE_ESTIMATE(DEFREVENUE_LT,MEAN,QUARTERLY,-2,NOW,,,'')":17.109,"QLYS-US^FE_ESTIMATE(DEFREVENUE_LT,MEAN,ANNUAL,0,NOW,,,'')":17.1144,"QLYS-US^FE_ESTIMATE(DEFREVENUE_LT,MEAN,QUARTERLY,-1,NOW,,,'')":14.998,"QLYS-US^FE_ESTIMATE(DEFREVENUE_LT,MEAN,QUARTERLY,0,NOW,,,'')":13.924,"QLYS-US^FE_ESTIMATE(DEFREVENUE_LT,MEAN,QUARTERLY,+1,NOW,,,'')":14.012333,"QLYS-US^FE_ESTIMATE(DEFREVENUE_LT,MEAN,QUARTERLY,+2,NOW,,,'')":14.463333,"QLYS-US^FE_ESTIMATE(DEFREVENUE_LT,MEAN,ANNUAL,+1,NOW,,,'')":14.463333,"QLYS-US^FE_ESTIMATE(RECEIV_NET,MEAN,ANNUAL,+2,NOW,,,'')":66.76175,"QLYS-US^FE_ESTIMATE(PAY_ACCT,MEAN,ANNUAL,+2,NOW,,,'')":3.81025,"QLYS-US^FE_ESTIMATE(GW_TOT,MEAN,ANNUAL,+2,NOW,,,'')":1.699,"QLYS-US^FE_ESTIMATE(CASH_ST,MEAN,QUARTERLY,-2,NOW,,,'')":234.7982,"QLYS-US^FE_ESTIMATE(CASH_ST,MEAN,ANNUAL,0,NOW,,,'')":192.51172,"QLYS-US^FE_ESTIMATE(CASH_ST,MEAN,QUARTERLY,-1,NOW,,,'')":200.3896,"QLYS-US^FE_ESTIMATE(CASH_ST,MEAN,QUARTERLY,0,NOW,,,'')":226.86525,"QLYS-US^FE_ESTIMATE(CASH_ST,MEAN,QUARTERLY,+1,NOW,,,'')":248.14075,"QLYS-US^FE_ESTIMATE(CASH_ST,MEAN,QUARTERLY,+2,NOW,,,'')":270.33575,"QLYS-US^FE_ESTIMATE(CASH_ST,MEAN,ANNUAL,+1,NOW,,,'')":241.6686,"QLYS-US^FE_ESTIMATE(CASH_ST,MEAN,QUARTERLY,+3,NOW,,,'')":434.6,"QLYS-US^FE_ESTIMATE(CASH_ST,MEAN,QUARTERLY,+4,NOW,,,'')":456.85,"QLYS-US^FE_ESTIMATE(CASH_ST,MEAN,QUARTERLY,+5,NOW,,,'')":484.1,"QLYS-US^FE_ESTIMATE(CASH_ST,MEAN,QUARTERLY,+6,NOW,,,'')":512.95,"QLYS-US^FE_ESTIMATE(CASH_ST,MEAN,ANNUAL,+2,NOW,,,'')":356.4282,"QLYS-US^FE_ESTIMATE(CASH_ST,MEAN,QUARTERLY,+7,NOW,,,'')":null,"QLYS-US^FE_ESTIMATE(CASH_ST,MEAN,QUARTERLY,+8,NOW,,,'')":null,"QLYS-US^FE_ESTIMATE(CASH_ST,MEAN,QUARTERLY,+9,NOW,,,'')":null,"QLYS-US^FE_ESTIMATE(CASH_ST,MEAN,QUARTERLY,+10,NOW,,,'')":null,"QLYS-US^FE_ESTIMATE(CASH_ST,MEAN,ANNUAL,+3,NOW,,,'')":422.0,"QLYS-US^FE_ESTIMATE(RECEIV_NET,MEAN,ANNUAL,+3,NOW,,,'')":73.0,"QLYS-US^FE_ESTIMATE(PAY_ACCT,MEAN,ANNUAL,+3,NOW,,,'')":4.0,"QLYS-US^FE_ESTIMATE(RECEIV_NET,MEAN,QUARTERLY,+3,NOW,,,'')":58.3,"QLYS-US^FE_ESTIMATE(RECEIV_NET,MEAN,QUARTERLY,+4,NOW,,,'')":61.5,"QLYS-US^FE_ESTIMATE(RECEIV_NET,MEAN,QUARTERLY,+5,NOW,,,'')":64.2,"QLYS-US^FE_ESTIMATE(RECEIV_NET,MEAN,QUARTERLY,+6,NOW,,,'')":70.2,"QLYS-US^FE_ESTIMATE(RECEIV_NET,MEAN,QUARTERLY,+7,NOW,,,'')":null,"QLYS-US^FE_ESTIMATE(RECEIV_NET,MEAN,QUARTERLY,+8,NOW,,,'')":null,"QLYS-US^FE_ESTIMATE(RECEIV_NET,MEAN,QUARTERLY,+9,NOW,,,'')":null,"QLYS-US^FE_ESTIMATE(RECEIV_NET,MEAN,QUARTERLY,+10,NOW,,,'')":null,"QLYS-US^FE_ESTIMATE(CAPEX,MEAN,QUARTERLY,+1,NOW,,,'')":9.8,"QLYS-US^FE_ESTIMATE(CAPEX,MEAN,QUARTERLY,+2,NOW,,,'')":4.862,"QLYS-US^FE_ESTIMATE(CAPEX,MEAN,ANNUAL,+1,NOW,,,'')":27.919428,"QLYS-US^FE_ESTIMATE(CAPEX,MEAN,QUARTERLY,+3,NOW,,,'')":6.75,"QLYS-US^FE_ESTIMATE(CAPEX,MEAN,QUARTERLY,+4,NOW,,,'')":6.75,"QLYS-US^FE_ESTIMATE(CAPEX,MEAN,QUARTERLY,+5,NOW,,,'')":6.75,"QLYS-US^FE_ESTIMATE(CAPEX,MEAN,QUARTERLY,+6,NOW,,,'')":6.75,"QLYS-US^FE_ESTIMATE(CAPEX,MEAN,ANNUAL,+2,NOW,,,'')":28.345572,"QLYS-US^FE_ESTIMATE(CAPEX,MEAN,QUARTERLY,+7,NOW,,,'')":null,"QLYS-US^FE_ESTIMATE(CAPEX,MEAN,QUARTERLY,+8,NOW,,,'')":null,"QLYS-US^FE_ESTIMATE(CAPEX,MEAN,QUARTERLY,+9,NOW,,,'')":null,"QLYS-US^FE_ESTIMATE(CAPEX,MEAN,QUARTERLY,+10,NOW,,,'')":null,"QLYS-US^FE_ESTIMATE(CAPEX,MEAN,ANNUAL,+3,NOW,,,'')":34.0,"QLYS-US^FE_ESTIMATE(GW_TOT,MEAN,ANNUAL,+3,NOW,,,'')":null,"QLYS-US^FE_ESTIMATE(PAY_ACCT,MEAN,QUARTERLY,+3,NOW,,,'')":1.0,"QLYS-US^FE_ESTIMATE(PAY_ACCT,MEAN,QUARTERLY,+4,NOW,,,'')":1.0,"QLYS-US^FE_ESTIMATE(PAY_ACCT,MEAN,QUARTERLY,+5,NOW,,,'')":1.0,"QLYS-US^FE_ESTIMATE(PAY_ACCT,MEAN,QUARTERLY,+6,NOW,,,'')":1.0,"QLYS-US^FE_ESTIMATE(PAY_ACCT,MEAN,QUARTERLY,+7,NOW,,,'')":null,"QLYS-US^FE_ESTIMATE(PAY_ACCT,MEAN,QUARTERLY,+8,NOW,,,'')":null,"QLYS-US^FE_ESTIMATE(PAY_ACCT,MEAN,QUARTERLY,+9,NOW,,,'')":null,"QLYS-US^FE_ESTIMATE(PAY_ACCT,MEAN,QUARTERLY,+10,NOW,,,'')":null,"QLYS-US^FE_ESTIMATE(DEFREVENUE_ST,MEAN,QUARTERLY,+3,NOW,,,'')":174.4,"QLYS-US^FE_ESTIMATE(DEFREVENUE_ST,MEAN,QUARTERLY,+4,NOW,,,'')":180.3,"QLYS-US^FE_ESTIMATE(DEFREVENUE_ST,MEAN,QUARTERLY,+5,NOW,,,'')":185.3,"QLYS-US^FE_ESTIMATE(DEFREVENUE_ST,MEAN,QUARTERLY,+6,NOW,,,'')":196.5,"QLYS-US^FE_ESTIMATE(DEFREVENUE_ST,MEAN,ANNUAL,+2,NOW,,,'')":198.549,"QLYS-US^FE_ESTIMATE(DEFREVENUE_ST,MEAN,QUARTERLY,+7,NOW,,,'')":null,"QLYS-US^FE_ESTIMATE(DEFREVENUE_ST,MEAN,QUARTERLY,+8,NOW,,,'')":null,"QLYS-US^FE_ESTIMATE(DEFREVENUE_ST,MEAN,QUARTERLY,+9,NOW,,,'')":null,"QLYS-US^FE_ESTIMATE(DEFREVENUE_ST,MEAN,QUARTERLY,+10,NOW,,,'')":null,"QLYS-US^FE_ESTIMATE(DEFREVENUE_ST,MEAN,ANNUAL,+3,NOW,,,'')":null,"QLYS-US^FE_ESTIMATE(DEFREVENUE_LT,MEAN,QUARTERLY,+3,NOW,,,'')":14.8,"QLYS-US^FE_ESTIMATE(DEFREVENUE_LT,MEAN,QUARTERLY,+4,NOW,,,'')":15.3,"QLYS-US^FE_ESTIMATE(DEFREVENUE_LT,MEAN,QUARTERLY,+5,NOW,,,'')":16.1,"QLYS-US^FE_ESTIMATE(DEFREVENUE_LT,MEAN,QUARTERLY,+6,NOW,,,'')":18.1,"QLYS-US^FE_ESTIMATE(DEFREVENUE_LT,MEAN,ANNUAL,+2,NOW,,,'')":16.466333,"QLYS-US^FE_ESTIMATE(DEFREVENUE_LT,MEAN,QUARTERLY,+7,NOW,,,'')":null,"QLYS-US^FE_ESTIMATE(DEFREVENUE_LT,MEAN,QUARTERLY,+8,NOW,,,'')":null,"QLYS-US^FE_ESTIMATE(DEFREVENUE_LT,MEAN,QUARTERLY,+9,NOW,,,'')":null,"QLYS-US^FE_ESTIMATE(DEFREVENUE_LT,MEAN,QUARTERLY,+10,NOW,,,'')":null,"QLYS-US^FE_ESTIMATE(DEFREVENUE_LT,MEAN,ANNUAL,+3,NOW,,,'')":null,"QLYS-US^FE_ESTIMATE(NET_INC_ADJ,MEAN,QUARTERLY,+1,NOW,,,'')":33.952694,"QLYS-US^FE_ESTIMATE(SALES,MEAN,QUARTERLY,+2,NOW,,,'')":78.51,"QLYS-US^FE_ESTIMATE(EPS_NONGAAP,MEAN,QUARTERLY,+9,NOW,,,'')":null,"QLYS-US^FE_ESTIMATE(NET_INC_ADJ,MEAN,QUARTERLY,+6,NOW,,,'')":40.106182,"QLYS-US^FE_ESTIMATE(NET_INC_ADJ,MEAN,QUARTERLY,+4,NOW,,,'')":38.62609,"QLYS-US^FE_ESTIMATE(EBIT_ADJ,MEAN,QUARTERLY,+2,NOW,,,'')":19.4378,"QLYS-US^FE_ESTIMATE(SALES,MEAN,QUARTERLY,0,NOW,,,'')":74.2,"QLYS-US^FE_ESTIMATE(NET_INC_ADJ,MEAN,ANNUAL,+3,NOW,,,'')":168.97943,"QLYS-US^FE_ESTIMATE(EBIT_ADJ,MEAN,ANNUAL,+1,NOW,,,'')":98.77533,"QLYS-US^FE_ESTIMATE(EBIT_ADJ,MEAN,QUARTERLY,-4,NOW,,,'')":18.628,"QLYS-US^FE_ESTIMATE(EPS_NONGAAP,MEAN,QUARTERLY,0,NOW,,,'')":0.51,"QLYS-US^FE_ESTIMATE(NET_INC_ADJ,MEAN,QUARTERLY,+2,NOW,,,'')":34.651615,"QLYS-US^FE_ESTIMATE(PTX_INC_ADJ,MEAN,QUARTERLY,+2,NOW,,,'')":20.25,"QLYS-US^FE_ESTIMATE(SALES,MEAN,ANNUAL,+3,NOW,,,'')":436.22205,"QLYS-US^FE_ESTIMATE(EPS_NONGAAP,MEAN,QUARTERLY,+2,NOW,,,'')":0.45,"QLYS-US^FE_ESTIMATE(NET_INC_ADJ,MEAN,QUARTERLY,+3,NOW,,,'')":37.000183,"QLYS-US^FE_ESTIMATE(EPS_NONGAAP,MEAN,ANNUAL,+2,NOW,,,'')":2.1918025,"QLYS-US^FE_ESTIMATE(NET_INC_ADJ,MEAN,ANNUAL,+1,NOW,,,'')":139.21301,"QLYS-US^FE_ESTIMATE(NET_INC_ADJ,MEAN,QUARTERLY,-1,NOW,,,'')":35.564,"QLYS-US^FE_ESTIMATE(PTX_INC_ADJ,MEAN,QUARTERLY,-3,NOW,,,'')":19.266666,"QLYS-US^FE_ESTIMATE(PTX_INC_ADJ,MEAN,QUARTERLY,-2,NOW,,,'')":21.15,"QLYS-US^FE_ESTIMATE(EBIT_ADJ,MEAN,ANNUAL,+2,NOW,,,'')":118.111,"QLYS-US^FE_ESTIMATE(SALES,MEAN,QUARTERLY,-3,NOW,,,'')":64.878,"QLYS-US^FE_ESTIMATE(EPS_NONGAAP,MEAN,QUARTERLY,+5,NOW,,,'')":0.49285713,"QLYS-US^FE_ESTIMATE(EBIT_ADJ,MEAN,QUARTERLY,0,NOW,,,'')":22.818,"QLYS-US^FE_ESTIMATE(EBIT_ADJ,MEAN,QUARTERLY,-3,NOW,,,'')":18.158167,"QLYS-US^FE_ESTIMATE(SALES,MEAN,ANNUAL,0,NOW,,,'')":278.889,"QLYS-US^FE_ESTIMATE(PTX_INC_ADJ,MEAN,ANNUAL,0,NOW,,,'')":92.1,"QLYS-US^FE_ESTIMATE(SALES,MEAN,QUARTERLY,+7,NOW,,,'')":null,"QLYS-US^FE_ESTIMATE(SALES,MEAN,QUARTERLY,+8,NOW,,,'')":null,"QLYS-US^FE_ESTIMATE(SALES,MEAN,QUARTERLY,+9,NOW,,,'')":null,"QLYS-US^FE_ESTIMATE(SALES,MEAN,QUARTERLY,+10,NOW,,,'')":null,"QLYS-US^FE_ESTIMATE(EBIT_ADJ,MEAN,ANNUAL,0,NOW,,,'')":87.0956,"QLYS-US^FE_ESTIMATE(EBIT_ADJ,MEAN,ANNUAL,+3,NOW,,,'')":145.5,"QLYS-US^FE_ESTIMATE(PTX_INC_ADJ,MEAN,QUARTERLY,-1,NOW,,,'')":26.95,"QLYS-US^FE_ESTIMATE(PTX_INC_ADJ,MEAN,ANNUAL,-1,NOW,,,'')":65.507,"QLYS-US^FE_ESTIMATE(SALES,MEAN,ANNUAL,+1,NOW,,,'')":322.14935,"QLYS-US^FE_ESTIMATE(NET_INC_ADJ,MEAN,ANNUAL,0,NOW,,,'')":129.273,"QLYS-US^FE_ESTIMATE(SALES,MEAN,QUARTERLY,+1,NOW,,,'')":74.910164,"QLYS-US^FE_ESTIMATE(SALES,MEAN,QUARTERLY,-1,NOW,,,'')":71.658,"QLYS-US^FE_ESTIMATE(PTX_INC_ADJ,MEAN,QUARTERLY,0,NOW,,,'')":24.7,"QLYS-US^FE_ESTIMATE(NET_INC_ADJ,MEAN,QUARTERLY,+5,NOW,,,'')":39.50109,"QLYS-US^FE_ESTIMATE(EBIT_ADJ,MEAN,QUARTERLY,-2,NOW,,,'')":20.3002,"QLYS-US^FE_ESTIMATE(SALES,MEAN,QUARTERLY,-2,NOW,,,'')":68.153,"QLYS-US^FE_ESTIMATE(SALES,MEAN,QUARTERLY,+5,NOW,,,'')":88.00625,"QLYS-US^FE_ESTIMATE(NET_INC_ADJ,MEAN,QUARTERLY,-2,NOW,,,'')":33.751,"QLYS-US^FE_ESTIMATE(NET_INC_ADJ,MEAN,QUARTERLY,-4,NOW,,,'')":31.606,"QLYS-US^FE_ESTIMATE(SALES,MEAN,QUARTERLY,+4,NOW,,,'')":85.87617,"QLYS-US^FE_ESTIMATE(NET_INC_ADJ,MEAN,QUARTERLY,+7,NOW,,,'')":42.9735,"QLYS-US^FE_ESTIMATE(SALES,MEAN,QUARTERLY,+3,NOW,,,'')":82.37016,"QLYS-US^FE_ESTIMATE(NET_INC_ADJ,MEAN,QUARTERLY,+10,NOW,,,'')":46.3925,"QLYS-US^FE_ESTIMATE(EBIT_ADJ,MEAN,QUARTERLY,+1,NOW,,,'')":21.5046,"QLYS-US^FE_ESTIMATE(EPS_NONGAAP,MEAN,QUARTERLY,-2,NOW,,,'')":0.32,"QLYS-US^FE_ESTIMATE(NET_INC_ADJ,MEAN,QUARTERLY,-3,NOW,,,'')":34.154,"QLYS-US^FE_ESTIMATE(PTX_INC_ADJ,MEAN,ANNUAL,+1,NOW,,,'')":100.35,"QLYS-US^FE_ESTIMATE(SALES,MEAN,ANNUAL,-1,NOW,,,'')":230.828,"QLYS-US^FE_ESTIMATE(NET_INC_ADJ,MEAN,QUARTERLY,+9,NOW,,,'')":45.34,"QLYS-US^FE_ESTIMATE(PTX_INC_ADJ,MEAN,ANNUAL,+2,NOW,,,'')":120.35,"QLYS-US^FE_ESTIMATE(NET_INC_ADJ,MEAN,QUARTERLY,+8,NOW,,,'')":44.685,"QLYS-US^FE_ESTIMATE(EBIT_ADJ,MEAN,ANNUAL,-1,NOW,,,'')":64.804665,"QLYS-US^FE_ESTIMATE(EPS_NONGAAP,MEAN,ANNUAL,+3,NOW,,,'')":2.5800734,"QLYS-US^FE_ESTIMATE(NET_INC_ADJ,MEAN,ANNUAL,+2,NOW,,,'')":152.97008,"QLYS-US^FE_ESTIMATE(SALES,MEAN,QUARTERLY,+6,NOW,,,'')":92.43775,"QLYS-US^FE_ESTIMATE(PTX_INC_ADJ,MEAN,ANNUAL,+3,NOW,,,'')":145.7,"QLYS-US^FE_ESTIMATE(EPS_NONGAAP,MEAN,QUARTERLY,-1,NOW,,,'')":0.49,"QLYS-US^FE_ESTIMATE(PTX_INC_ADJ,MEAN,QUARTERLY,+1,NOW,,,'')":22.15,"QLYS-US^FE_ESTIMATE(NET_INC_ADJ,MEAN,QUARTERLY,0,NOW,,,'')":35.271,"QLYS-US^FE_ESTIMATE(EPS_NONGAAP,MEAN,QUARTERLY,+10,NOW,,,'')":0.61,"QLYS-US^FE_ESTIMATE(PTX_INC_ADJ,MEAN,QUARTERLY,-4,NOW,,,'')":19.295666,"QLYS-US^FE_ESTIMATE(SALES,MEAN,QUARTERLY,-4,NOW,,,'')":62.915,"QLYS-US^FE_ESTIMATE(SALES,MEAN,ANNUAL,+2,NOW,,,'')":374.6824,"QLYS-US^FE_ESTIMATE(EBIT_ADJ,MEAN,QUARTERLY,-1,NOW,,,'')":25.8112,"QLYS-US^FE_ESTIMATE(NET_INC_ADJ,MEAN,ANNUAL,-1,NOW,,,'')":116.959,"QLYS-US^FE_ESTIMATE(EPS_NONGAAP,MEAN,QUARTERLY,+3,NOW,,,'')":0.50153846,"QLYS-US^FE_ESTIMATE(EPS_NONGAAP,MEAN,QUARTERLY,+6,NOW,,,'')":0.5271429,"QLYS-US^FE_ESTIMATE(EPS_NONGAAP,MEAN,ANNUAL,0,NOW,,,'')":1.75,"QLYS-US^FE_ESTIMATE(EPS_NONGAAP,MEAN,QUARTERLY,+4,NOW,,,'')":0.49923077,"QLYS-US^FE_ESTIMATE(EPS_NONGAAP,MEAN,QUARTERLY,+7,NOW,,,'')":0.57714283,"QLYS-US^FE_ESTIMATE(EPS_NONGAAP,MEAN,QUARTERLY,+1,NOW,,,'')":0.41857144,"QLYS-US^FE_ESTIMATE(EPS_NONGAAP,MEAN,ANNUAL,+1,NOW,,,'')":1.8752407,"QLYS-US^FE_ESTIMATE(EPS_NONGAAP,MEAN,QUARTERLY,+8,NOW,,,'')":0.5914286}]]></FdsFormulaCache>
</file>

<file path=customXml/itemProps1.xml><?xml version="1.0" encoding="utf-8"?>
<ds:datastoreItem xmlns:ds="http://schemas.openxmlformats.org/officeDocument/2006/customXml" ds:itemID="{381B8D8C-11E3-42E9-A026-4EBEB6AEDED1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BM Upload</vt:lpstr>
      <vt:lpstr>Variance</vt:lpstr>
      <vt:lpstr>BS</vt:lpstr>
      <vt:lpstr>CF</vt:lpstr>
      <vt:lpstr>IS</vt:lpstr>
      <vt:lpstr>Billings &amp; Recs</vt:lpstr>
      <vt:lpstr>Geography</vt:lpstr>
      <vt:lpstr>Channel</vt:lpstr>
      <vt:lpstr>Retention</vt:lpstr>
      <vt:lpstr>Preview</vt:lpstr>
      <vt:lpstr>Charts</vt:lpstr>
      <vt:lpstr> OLD</vt:lpstr>
      <vt:lpstr>Filings Exhibits</vt:lpstr>
      <vt:lpstr>' OLD'!Print_Area</vt:lpstr>
      <vt:lpstr>'Billings &amp; Recs'!Print_Area</vt:lpstr>
      <vt:lpstr>BS!Print_Area</vt:lpstr>
      <vt:lpstr>CF!Print_Area</vt:lpstr>
      <vt:lpstr>Channel!Print_Area</vt:lpstr>
      <vt:lpstr>Geography!Print_Area</vt:lpstr>
      <vt:lpstr>IS!Print_Area</vt:lpstr>
      <vt:lpstr>Preview!Print_Area</vt:lpstr>
      <vt:lpstr>Retention!Print_Area</vt:lpstr>
      <vt:lpstr>Variance!Print_Area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dpark@needhamco.com</dc:creator>
  <cp:lastModifiedBy>Yuuji Anderson</cp:lastModifiedBy>
  <cp:lastPrinted>2026-02-06T02:34:17Z</cp:lastPrinted>
  <dcterms:created xsi:type="dcterms:W3CDTF">2015-07-08T14:10:50Z</dcterms:created>
  <dcterms:modified xsi:type="dcterms:W3CDTF">2026-03-12T22:41:08Z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Id">
    <vt:lpwstr>7b6bfe92-ec6c-4034-95a8-5e76422ff7d4</vt:lpwstr>
  </property>
</Properties>
</file>